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óska\Kalkulátorok\2022\"/>
    </mc:Choice>
  </mc:AlternateContent>
  <xr:revisionPtr revIDLastSave="0" documentId="13_ncr:1_{EC9175C1-9420-4D71-B6F9-B2A7690A43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M4" i="1"/>
  <c r="G4" i="1"/>
  <c r="E6" i="1"/>
  <c r="F6" i="1"/>
  <c r="I6" i="1" l="1"/>
  <c r="K15" i="1"/>
  <c r="K17" i="1" s="1"/>
  <c r="K12" i="1"/>
  <c r="K14" i="1" s="1"/>
  <c r="K9" i="1"/>
  <c r="K11" i="1" s="1"/>
  <c r="K6" i="1"/>
  <c r="E9" i="1"/>
  <c r="K22" i="1"/>
  <c r="D16" i="1"/>
  <c r="D17" i="1" s="1"/>
  <c r="D7" i="1"/>
  <c r="E7" i="1" s="1"/>
  <c r="M15" i="1"/>
  <c r="M12" i="1"/>
  <c r="M9" i="1"/>
  <c r="M6" i="1"/>
  <c r="M17" i="1"/>
  <c r="M16" i="1"/>
  <c r="M14" i="1"/>
  <c r="M13" i="1"/>
  <c r="M11" i="1"/>
  <c r="M10" i="1"/>
  <c r="M8" i="1"/>
  <c r="M7" i="1"/>
  <c r="K8" i="1"/>
  <c r="D18" i="1"/>
  <c r="D13" i="1"/>
  <c r="D14" i="1" s="1"/>
  <c r="D10" i="1"/>
  <c r="D11" i="1" s="1"/>
  <c r="E12" i="1" l="1"/>
  <c r="M18" i="1"/>
  <c r="E10" i="1"/>
  <c r="E13" i="1" s="1"/>
  <c r="E16" i="1" s="1"/>
  <c r="G2" i="1"/>
  <c r="D19" i="1"/>
  <c r="M19" i="1" s="1"/>
  <c r="G7" i="1"/>
  <c r="K16" i="1"/>
  <c r="K10" i="1"/>
  <c r="H6" i="1"/>
  <c r="K20" i="1"/>
  <c r="K18" i="1"/>
  <c r="F7" i="1"/>
  <c r="K7" i="1"/>
  <c r="D8" i="1"/>
  <c r="K13" i="1"/>
  <c r="E15" i="1" l="1"/>
  <c r="E8" i="1"/>
  <c r="E11" i="1"/>
  <c r="G3" i="1"/>
  <c r="J7" i="1" s="1"/>
  <c r="I4" i="1"/>
  <c r="I7" i="1"/>
  <c r="J6" i="1"/>
  <c r="F9" i="1"/>
  <c r="H9" i="1" s="1"/>
  <c r="G9" i="1"/>
  <c r="I2" i="1" s="1"/>
  <c r="K4" i="1"/>
  <c r="K19" i="1"/>
  <c r="D20" i="1"/>
  <c r="M20" i="1" s="1"/>
  <c r="H7" i="1"/>
  <c r="G13" i="1"/>
  <c r="K3" i="1" s="1"/>
  <c r="J13" i="1" s="1"/>
  <c r="F13" i="1"/>
  <c r="H13" i="1" s="1"/>
  <c r="F10" i="1"/>
  <c r="H10" i="1" s="1"/>
  <c r="G10" i="1"/>
  <c r="I9" i="1" l="1"/>
  <c r="E14" i="1"/>
  <c r="E17" i="1" s="1"/>
  <c r="I10" i="1"/>
  <c r="I13" i="1"/>
  <c r="L13" i="1" s="1"/>
  <c r="N13" i="1" s="1"/>
  <c r="L6" i="1"/>
  <c r="N6" i="1" s="1"/>
  <c r="G12" i="1"/>
  <c r="K2" i="1" s="1"/>
  <c r="I3" i="1"/>
  <c r="J9" i="1"/>
  <c r="F12" i="1"/>
  <c r="H12" i="1" s="1"/>
  <c r="F16" i="1"/>
  <c r="H16" i="1" s="1"/>
  <c r="H19" i="1" s="1"/>
  <c r="G16" i="1"/>
  <c r="M3" i="1" s="1"/>
  <c r="I8" i="1"/>
  <c r="G8" i="1"/>
  <c r="E19" i="1"/>
  <c r="L7" i="1"/>
  <c r="I11" i="1"/>
  <c r="L9" i="1" l="1"/>
  <c r="N9" i="1" s="1"/>
  <c r="I16" i="1"/>
  <c r="I19" i="1" s="1"/>
  <c r="I12" i="1"/>
  <c r="H24" i="1"/>
  <c r="J10" i="1"/>
  <c r="L10" i="1" s="1"/>
  <c r="N10" i="1" s="1"/>
  <c r="F19" i="1"/>
  <c r="J12" i="1"/>
  <c r="J16" i="1"/>
  <c r="F15" i="1"/>
  <c r="H15" i="1" s="1"/>
  <c r="H18" i="1" s="1"/>
  <c r="G15" i="1"/>
  <c r="M2" i="1" s="1"/>
  <c r="E18" i="1"/>
  <c r="D22" i="1" s="1"/>
  <c r="L8" i="1"/>
  <c r="G11" i="1"/>
  <c r="L11" i="1"/>
  <c r="N11" i="1" s="1"/>
  <c r="N7" i="1"/>
  <c r="G19" i="1"/>
  <c r="L12" i="1" l="1"/>
  <c r="N12" i="1" s="1"/>
  <c r="H23" i="1"/>
  <c r="K24" i="1"/>
  <c r="I15" i="1"/>
  <c r="I18" i="1" s="1"/>
  <c r="G22" i="1" s="1"/>
  <c r="I17" i="1"/>
  <c r="L17" i="1" s="1"/>
  <c r="N17" i="1" s="1"/>
  <c r="I14" i="1"/>
  <c r="L14" i="1" s="1"/>
  <c r="N14" i="1" s="1"/>
  <c r="J19" i="1"/>
  <c r="L16" i="1"/>
  <c r="N16" i="1" s="1"/>
  <c r="J15" i="1"/>
  <c r="F18" i="1"/>
  <c r="G18" i="1"/>
  <c r="G14" i="1"/>
  <c r="N8" i="1"/>
  <c r="K23" i="1" l="1"/>
  <c r="N23" i="1" s="1"/>
  <c r="N24" i="1"/>
  <c r="F17" i="1"/>
  <c r="F20" i="1" s="1"/>
  <c r="E20" i="1"/>
  <c r="G17" i="1"/>
  <c r="G20" i="1" s="1"/>
  <c r="L19" i="1"/>
  <c r="N19" i="1" s="1"/>
  <c r="J18" i="1"/>
  <c r="L15" i="1"/>
  <c r="L20" i="1"/>
  <c r="N20" i="1" s="1"/>
  <c r="I20" i="1"/>
  <c r="N15" i="1" l="1"/>
  <c r="L18" i="1"/>
  <c r="N18" i="1" s="1"/>
</calcChain>
</file>

<file path=xl/sharedStrings.xml><?xml version="1.0" encoding="utf-8"?>
<sst xmlns="http://schemas.openxmlformats.org/spreadsheetml/2006/main" count="102" uniqueCount="62">
  <si>
    <t>© Angyal József okleveles adószakértő</t>
  </si>
  <si>
    <t>Hónap</t>
  </si>
  <si>
    <t>www.angyalado.hu</t>
  </si>
  <si>
    <t>Átalányadó kalkulátor 2022 szeptember 1-i áttéréssel</t>
  </si>
  <si>
    <t>Adóalap kedvezmények:</t>
  </si>
  <si>
    <t>0: nincs kedvezmény</t>
  </si>
  <si>
    <t xml:space="preserve"> Ft/09.hó</t>
  </si>
  <si>
    <t xml:space="preserve"> Ft/10.hó</t>
  </si>
  <si>
    <t xml:space="preserve"> Ft/11.hó</t>
  </si>
  <si>
    <t xml:space="preserve"> Ft/12.hó</t>
  </si>
  <si>
    <t>EV</t>
  </si>
  <si>
    <t>adóalap</t>
  </si>
  <si>
    <t>Szochó</t>
  </si>
  <si>
    <t>Szja</t>
  </si>
  <si>
    <t>TB Járulék</t>
  </si>
  <si>
    <t>Iparüzési</t>
  </si>
  <si>
    <t>Kata+Ipa</t>
  </si>
  <si>
    <t>Különbség</t>
  </si>
  <si>
    <t>1: egy gyerekes kedvezmény</t>
  </si>
  <si>
    <t>Főállású</t>
  </si>
  <si>
    <t>Ft</t>
  </si>
  <si>
    <t>2: két gyerekes kedvezmény</t>
  </si>
  <si>
    <t>Szeptember</t>
  </si>
  <si>
    <t>nem főállású</t>
  </si>
  <si>
    <t>3: három gyerekes kedvezmény</t>
  </si>
  <si>
    <t>nyugdíjas</t>
  </si>
  <si>
    <t>5: 25 év alattiak kedvezménye</t>
  </si>
  <si>
    <t>Október</t>
  </si>
  <si>
    <t>6: elsőházasok kedvezménye</t>
  </si>
  <si>
    <t>7: személyi kedvezmény</t>
  </si>
  <si>
    <t>November</t>
  </si>
  <si>
    <t>December</t>
  </si>
  <si>
    <t>Összesen</t>
  </si>
  <si>
    <t>Csak a „zöld” színnel jelzett mezőket kell kitölteni, a többit számolja a kalkulátor.</t>
  </si>
  <si>
    <t>bevétel/hó</t>
  </si>
  <si>
    <t>szochó alap</t>
  </si>
  <si>
    <t>járulék alap</t>
  </si>
  <si>
    <t>Igen</t>
  </si>
  <si>
    <t>Nem</t>
  </si>
  <si>
    <t xml:space="preserve">  Családi járulékkedvezmény nem főfoglalkozású:</t>
  </si>
  <si>
    <t xml:space="preserve">     Családi járulékkedvezmény főfoglalkozású:</t>
  </si>
  <si>
    <t>Főfoglalkozású</t>
  </si>
  <si>
    <t>4: négy gyerekes anyák kedvezm</t>
  </si>
  <si>
    <t>Összevont adóalap</t>
  </si>
  <si>
    <t>Levont szja</t>
  </si>
  <si>
    <t xml:space="preserve">        Főfoglalkozású szja visszatérítés</t>
  </si>
  <si>
    <t xml:space="preserve">     Nem főfoglalkozású szja visszatérítés</t>
  </si>
  <si>
    <t>Éves Családi adó kedv. Keret</t>
  </si>
  <si>
    <t>Bevallásban  csjk</t>
  </si>
  <si>
    <t xml:space="preserve">2022. évi személyi jövedelemadó bevallás elszámolása </t>
  </si>
  <si>
    <t>Év közben Igénybevett csjk. Alap</t>
  </si>
  <si>
    <t>Bevallásban csjk.</t>
  </si>
  <si>
    <t>Szja és csjk visszatérítés</t>
  </si>
  <si>
    <t>Ktg.</t>
  </si>
  <si>
    <t>átalány</t>
  </si>
  <si>
    <t>2022.09</t>
  </si>
  <si>
    <t>2022.10</t>
  </si>
  <si>
    <t>2022.11</t>
  </si>
  <si>
    <t>2022.12</t>
  </si>
  <si>
    <t>1:főfoglalkozású</t>
  </si>
  <si>
    <t>2:nem főfoglalkozású</t>
  </si>
  <si>
    <t>3:nyugdíjas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</si>
</sst>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Ft-40E]"/>
    <numFmt numFmtId="165" formatCode="#,##0&quot; forint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13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13"/>
      <name val="Times New Roman"/>
      <family val="1"/>
      <charset val="238"/>
    </font>
    <font>
      <b/>
      <sz val="14"/>
      <color indexed="13"/>
      <name val="Times New Roman"/>
      <family val="1"/>
      <charset val="238"/>
    </font>
    <font>
      <sz val="11"/>
      <color indexed="13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indexed="13"/>
      <name val="Calibri"/>
      <family val="2"/>
      <charset val="238"/>
    </font>
    <font>
      <u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3"/>
      <color rgb="FFFFFF00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b/>
      <sz val="13"/>
      <color indexed="13"/>
      <name val="Calibri"/>
      <family val="2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2" borderId="0" xfId="0" applyFill="1"/>
    <xf numFmtId="0" fontId="2" fillId="3" borderId="0" xfId="0" applyFont="1" applyFill="1"/>
    <xf numFmtId="0" fontId="2" fillId="3" borderId="6" xfId="0" applyFont="1" applyFill="1" applyBorder="1"/>
    <xf numFmtId="0" fontId="0" fillId="4" borderId="0" xfId="0" applyFill="1"/>
    <xf numFmtId="0" fontId="5" fillId="3" borderId="7" xfId="0" applyFont="1" applyFill="1" applyBorder="1" applyAlignment="1">
      <alignment horizontal="left"/>
    </xf>
    <xf numFmtId="0" fontId="6" fillId="3" borderId="10" xfId="0" applyFont="1" applyFill="1" applyBorder="1"/>
    <xf numFmtId="0" fontId="7" fillId="3" borderId="7" xfId="0" applyFont="1" applyFill="1" applyBorder="1"/>
    <xf numFmtId="0" fontId="0" fillId="5" borderId="0" xfId="0" applyFill="1"/>
    <xf numFmtId="3" fontId="0" fillId="7" borderId="1" xfId="0" applyNumberFormat="1" applyFill="1" applyBorder="1"/>
    <xf numFmtId="0" fontId="8" fillId="0" borderId="0" xfId="0" applyFont="1"/>
    <xf numFmtId="3" fontId="0" fillId="5" borderId="13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3" fontId="0" fillId="5" borderId="14" xfId="0" applyNumberFormat="1" applyFill="1" applyBorder="1"/>
    <xf numFmtId="3" fontId="0" fillId="5" borderId="15" xfId="0" applyNumberFormat="1" applyFill="1" applyBorder="1"/>
    <xf numFmtId="3" fontId="0" fillId="5" borderId="15" xfId="0" applyNumberFormat="1" applyFill="1" applyBorder="1" applyAlignment="1">
      <alignment horizontal="center"/>
    </xf>
    <xf numFmtId="49" fontId="4" fillId="4" borderId="0" xfId="0" applyNumberFormat="1" applyFont="1" applyFill="1"/>
    <xf numFmtId="0" fontId="0" fillId="4" borderId="16" xfId="0" applyFill="1" applyBorder="1"/>
    <xf numFmtId="3" fontId="1" fillId="6" borderId="0" xfId="0" applyNumberFormat="1" applyFont="1" applyFill="1" applyProtection="1">
      <protection locked="0"/>
    </xf>
    <xf numFmtId="3" fontId="0" fillId="7" borderId="17" xfId="0" applyNumberFormat="1" applyFill="1" applyBorder="1"/>
    <xf numFmtId="3" fontId="0" fillId="0" borderId="18" xfId="0" applyNumberFormat="1" applyBorder="1"/>
    <xf numFmtId="0" fontId="0" fillId="0" borderId="19" xfId="0" applyBorder="1"/>
    <xf numFmtId="0" fontId="0" fillId="4" borderId="20" xfId="0" applyFill="1" applyBorder="1"/>
    <xf numFmtId="3" fontId="4" fillId="7" borderId="21" xfId="0" applyNumberFormat="1" applyFont="1" applyFill="1" applyBorder="1"/>
    <xf numFmtId="3" fontId="0" fillId="7" borderId="4" xfId="0" applyNumberFormat="1" applyFill="1" applyBorder="1"/>
    <xf numFmtId="3" fontId="0" fillId="0" borderId="2" xfId="0" applyNumberFormat="1" applyBorder="1"/>
    <xf numFmtId="0" fontId="0" fillId="0" borderId="8" xfId="0" applyBorder="1"/>
    <xf numFmtId="3" fontId="4" fillId="7" borderId="22" xfId="0" applyNumberFormat="1" applyFont="1" applyFill="1" applyBorder="1"/>
    <xf numFmtId="3" fontId="0" fillId="8" borderId="4" xfId="0" applyNumberFormat="1" applyFill="1" applyBorder="1"/>
    <xf numFmtId="3" fontId="0" fillId="7" borderId="23" xfId="0" applyNumberFormat="1" applyFill="1" applyBorder="1"/>
    <xf numFmtId="3" fontId="0" fillId="0" borderId="24" xfId="0" applyNumberFormat="1" applyBorder="1"/>
    <xf numFmtId="0" fontId="0" fillId="0" borderId="25" xfId="0" applyBorder="1"/>
    <xf numFmtId="49" fontId="4" fillId="4" borderId="26" xfId="0" applyNumberFormat="1" applyFont="1" applyFill="1" applyBorder="1"/>
    <xf numFmtId="3" fontId="1" fillId="6" borderId="27" xfId="0" applyNumberFormat="1" applyFont="1" applyFill="1" applyBorder="1" applyProtection="1">
      <protection locked="0"/>
    </xf>
    <xf numFmtId="3" fontId="0" fillId="0" borderId="0" xfId="0" applyNumberFormat="1"/>
    <xf numFmtId="49" fontId="4" fillId="4" borderId="0" xfId="0" applyNumberFormat="1" applyFont="1" applyFill="1" applyAlignment="1">
      <alignment horizontal="center"/>
    </xf>
    <xf numFmtId="3" fontId="4" fillId="7" borderId="3" xfId="0" applyNumberFormat="1" applyFont="1" applyFill="1" applyBorder="1"/>
    <xf numFmtId="0" fontId="0" fillId="0" borderId="28" xfId="0" applyBorder="1"/>
    <xf numFmtId="0" fontId="0" fillId="4" borderId="9" xfId="0" applyFill="1" applyBorder="1"/>
    <xf numFmtId="0" fontId="0" fillId="4" borderId="29" xfId="0" applyFill="1" applyBorder="1"/>
    <xf numFmtId="3" fontId="4" fillId="7" borderId="30" xfId="0" applyNumberFormat="1" applyFont="1" applyFill="1" applyBorder="1"/>
    <xf numFmtId="3" fontId="0" fillId="0" borderId="31" xfId="0" applyNumberFormat="1" applyBorder="1"/>
    <xf numFmtId="0" fontId="0" fillId="0" borderId="32" xfId="0" applyBorder="1"/>
    <xf numFmtId="3" fontId="0" fillId="0" borderId="4" xfId="0" applyNumberFormat="1" applyBorder="1"/>
    <xf numFmtId="0" fontId="0" fillId="0" borderId="33" xfId="0" applyBorder="1"/>
    <xf numFmtId="3" fontId="0" fillId="0" borderId="34" xfId="0" applyNumberFormat="1" applyBorder="1"/>
    <xf numFmtId="0" fontId="0" fillId="0" borderId="35" xfId="0" applyBorder="1"/>
    <xf numFmtId="3" fontId="0" fillId="7" borderId="36" xfId="0" applyNumberFormat="1" applyFill="1" applyBorder="1"/>
    <xf numFmtId="3" fontId="0" fillId="8" borderId="23" xfId="0" applyNumberFormat="1" applyFill="1" applyBorder="1"/>
    <xf numFmtId="49" fontId="4" fillId="5" borderId="0" xfId="0" applyNumberFormat="1" applyFont="1" applyFill="1"/>
    <xf numFmtId="0" fontId="0" fillId="5" borderId="20" xfId="0" applyFill="1" applyBorder="1"/>
    <xf numFmtId="3" fontId="4" fillId="5" borderId="37" xfId="0" applyNumberFormat="1" applyFont="1" applyFill="1" applyBorder="1"/>
    <xf numFmtId="3" fontId="4" fillId="5" borderId="38" xfId="0" applyNumberFormat="1" applyFont="1" applyFill="1" applyBorder="1"/>
    <xf numFmtId="3" fontId="4" fillId="5" borderId="31" xfId="0" applyNumberFormat="1" applyFont="1" applyFill="1" applyBorder="1"/>
    <xf numFmtId="3" fontId="4" fillId="5" borderId="17" xfId="0" applyNumberFormat="1" applyFont="1" applyFill="1" applyBorder="1"/>
    <xf numFmtId="3" fontId="4" fillId="5" borderId="39" xfId="0" applyNumberFormat="1" applyFont="1" applyFill="1" applyBorder="1"/>
    <xf numFmtId="0" fontId="4" fillId="5" borderId="26" xfId="0" applyFont="1" applyFill="1" applyBorder="1"/>
    <xf numFmtId="49" fontId="4" fillId="5" borderId="0" xfId="0" applyNumberFormat="1" applyFont="1" applyFill="1" applyAlignment="1">
      <alignment horizontal="center"/>
    </xf>
    <xf numFmtId="3" fontId="4" fillId="5" borderId="21" xfId="0" applyNumberFormat="1" applyFont="1" applyFill="1" applyBorder="1"/>
    <xf numFmtId="3" fontId="4" fillId="5" borderId="4" xfId="0" applyNumberFormat="1" applyFont="1" applyFill="1" applyBorder="1"/>
    <xf numFmtId="3" fontId="4" fillId="5" borderId="0" xfId="0" applyNumberFormat="1" applyFont="1" applyFill="1"/>
    <xf numFmtId="0" fontId="4" fillId="5" borderId="0" xfId="0" applyFont="1" applyFill="1"/>
    <xf numFmtId="0" fontId="9" fillId="3" borderId="0" xfId="0" applyFont="1" applyFill="1"/>
    <xf numFmtId="0" fontId="10" fillId="0" borderId="0" xfId="0" applyFont="1" applyAlignment="1">
      <alignment horizontal="left"/>
    </xf>
    <xf numFmtId="0" fontId="11" fillId="2" borderId="0" xfId="0" applyFont="1" applyFill="1"/>
    <xf numFmtId="0" fontId="12" fillId="4" borderId="0" xfId="0" applyFont="1" applyFill="1"/>
    <xf numFmtId="0" fontId="0" fillId="0" borderId="0" xfId="0"/>
    <xf numFmtId="0" fontId="12" fillId="0" borderId="0" xfId="0" applyFont="1"/>
    <xf numFmtId="0" fontId="0" fillId="8" borderId="0" xfId="0" applyFill="1"/>
    <xf numFmtId="0" fontId="15" fillId="4" borderId="0" xfId="0" applyFont="1" applyFill="1"/>
    <xf numFmtId="3" fontId="0" fillId="7" borderId="29" xfId="0" applyNumberFormat="1" applyFill="1" applyBorder="1"/>
    <xf numFmtId="0" fontId="8" fillId="0" borderId="9" xfId="0" applyFont="1" applyBorder="1"/>
    <xf numFmtId="3" fontId="0" fillId="7" borderId="16" xfId="0" applyNumberFormat="1" applyFill="1" applyBorder="1"/>
    <xf numFmtId="3" fontId="0" fillId="7" borderId="43" xfId="0" applyNumberFormat="1" applyFill="1" applyBorder="1"/>
    <xf numFmtId="0" fontId="8" fillId="0" borderId="11" xfId="0" applyFont="1" applyBorder="1"/>
    <xf numFmtId="0" fontId="8" fillId="0" borderId="12" xfId="0" applyFont="1" applyBorder="1"/>
    <xf numFmtId="0" fontId="0" fillId="5" borderId="45" xfId="0" applyFill="1" applyBorder="1"/>
    <xf numFmtId="0" fontId="18" fillId="3" borderId="0" xfId="0" applyFont="1" applyFill="1"/>
    <xf numFmtId="0" fontId="0" fillId="5" borderId="0" xfId="0" applyFill="1" applyBorder="1"/>
    <xf numFmtId="3" fontId="4" fillId="5" borderId="22" xfId="0" applyNumberFormat="1" applyFont="1" applyFill="1" applyBorder="1"/>
    <xf numFmtId="3" fontId="4" fillId="7" borderId="9" xfId="0" applyNumberFormat="1" applyFont="1" applyFill="1" applyBorder="1"/>
    <xf numFmtId="3" fontId="4" fillId="7" borderId="14" xfId="0" applyNumberFormat="1" applyFont="1" applyFill="1" applyBorder="1"/>
    <xf numFmtId="3" fontId="0" fillId="8" borderId="36" xfId="0" applyNumberFormat="1" applyFill="1" applyBorder="1"/>
    <xf numFmtId="3" fontId="4" fillId="5" borderId="36" xfId="0" applyNumberFormat="1" applyFont="1" applyFill="1" applyBorder="1"/>
    <xf numFmtId="3" fontId="4" fillId="5" borderId="0" xfId="0" applyNumberFormat="1" applyFont="1" applyFill="1" applyBorder="1"/>
    <xf numFmtId="0" fontId="4" fillId="5" borderId="0" xfId="0" applyFont="1" applyFill="1" applyBorder="1"/>
    <xf numFmtId="0" fontId="0" fillId="8" borderId="11" xfId="0" applyFill="1" applyBorder="1"/>
    <xf numFmtId="0" fontId="0" fillId="8" borderId="12" xfId="0" applyFill="1" applyBorder="1"/>
    <xf numFmtId="0" fontId="0" fillId="8" borderId="5" xfId="0" applyFill="1" applyBorder="1"/>
    <xf numFmtId="0" fontId="4" fillId="8" borderId="12" xfId="0" applyFont="1" applyFill="1" applyBorder="1"/>
    <xf numFmtId="0" fontId="14" fillId="9" borderId="47" xfId="0" applyFont="1" applyFill="1" applyBorder="1"/>
    <xf numFmtId="0" fontId="0" fillId="9" borderId="47" xfId="0" applyFill="1" applyBorder="1"/>
    <xf numFmtId="0" fontId="0" fillId="9" borderId="19" xfId="0" applyFill="1" applyBorder="1"/>
    <xf numFmtId="0" fontId="0" fillId="9" borderId="48" xfId="0" applyFill="1" applyBorder="1"/>
    <xf numFmtId="0" fontId="14" fillId="10" borderId="44" xfId="0" applyFont="1" applyFill="1" applyBorder="1"/>
    <xf numFmtId="0" fontId="0" fillId="10" borderId="46" xfId="0" applyFill="1" applyBorder="1"/>
    <xf numFmtId="0" fontId="0" fillId="10" borderId="49" xfId="0" applyFill="1" applyBorder="1"/>
    <xf numFmtId="0" fontId="0" fillId="10" borderId="41" xfId="0" applyFill="1" applyBorder="1"/>
    <xf numFmtId="0" fontId="4" fillId="11" borderId="42" xfId="0" applyFont="1" applyFill="1" applyBorder="1"/>
    <xf numFmtId="0" fontId="0" fillId="11" borderId="9" xfId="0" applyFill="1" applyBorder="1"/>
    <xf numFmtId="3" fontId="4" fillId="7" borderId="32" xfId="0" applyNumberFormat="1" applyFont="1" applyFill="1" applyBorder="1"/>
    <xf numFmtId="3" fontId="4" fillId="7" borderId="50" xfId="0" applyNumberFormat="1" applyFont="1" applyFill="1" applyBorder="1"/>
    <xf numFmtId="164" fontId="4" fillId="7" borderId="32" xfId="0" applyNumberFormat="1" applyFont="1" applyFill="1" applyBorder="1"/>
    <xf numFmtId="164" fontId="4" fillId="7" borderId="50" xfId="0" applyNumberFormat="1" applyFont="1" applyFill="1" applyBorder="1"/>
    <xf numFmtId="0" fontId="4" fillId="6" borderId="1" xfId="0" applyFont="1" applyFill="1" applyBorder="1" applyAlignment="1" applyProtection="1">
      <alignment horizontal="center"/>
      <protection locked="0"/>
    </xf>
    <xf numFmtId="0" fontId="0" fillId="12" borderId="9" xfId="0" applyFill="1" applyBorder="1"/>
    <xf numFmtId="3" fontId="0" fillId="12" borderId="9" xfId="0" applyNumberFormat="1" applyFill="1" applyBorder="1"/>
    <xf numFmtId="0" fontId="0" fillId="5" borderId="45" xfId="0" applyFill="1" applyBorder="1" applyAlignment="1">
      <alignment horizontal="center"/>
    </xf>
    <xf numFmtId="9" fontId="0" fillId="0" borderId="0" xfId="0" applyNumberFormat="1"/>
    <xf numFmtId="9" fontId="0" fillId="6" borderId="43" xfId="0" applyNumberFormat="1" applyFill="1" applyBorder="1" applyAlignment="1" applyProtection="1">
      <alignment horizontal="center"/>
      <protection locked="0"/>
    </xf>
    <xf numFmtId="9" fontId="15" fillId="4" borderId="0" xfId="0" applyNumberFormat="1" applyFont="1" applyFill="1"/>
    <xf numFmtId="49" fontId="15" fillId="4" borderId="0" xfId="0" applyNumberFormat="1" applyFont="1" applyFill="1"/>
    <xf numFmtId="0" fontId="0" fillId="4" borderId="0" xfId="0" applyFill="1" applyBorder="1" applyAlignment="1"/>
    <xf numFmtId="3" fontId="0" fillId="4" borderId="0" xfId="0" applyNumberFormat="1" applyFill="1" applyBorder="1" applyAlignment="1"/>
    <xf numFmtId="0" fontId="23" fillId="4" borderId="0" xfId="0" applyFont="1" applyFill="1" applyBorder="1" applyAlignment="1"/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19" fillId="4" borderId="0" xfId="0" applyFont="1" applyFill="1" applyBorder="1" applyAlignment="1"/>
    <xf numFmtId="0" fontId="0" fillId="4" borderId="0" xfId="0" applyFill="1" applyBorder="1" applyAlignment="1">
      <alignment horizontal="left"/>
    </xf>
    <xf numFmtId="49" fontId="0" fillId="4" borderId="0" xfId="0" applyNumberFormat="1" applyFill="1" applyBorder="1" applyAlignment="1"/>
    <xf numFmtId="0" fontId="20" fillId="4" borderId="0" xfId="0" applyFont="1" applyFill="1" applyBorder="1" applyAlignment="1"/>
    <xf numFmtId="0" fontId="21" fillId="4" borderId="0" xfId="0" applyFont="1" applyFill="1" applyBorder="1" applyAlignment="1"/>
    <xf numFmtId="165" fontId="0" fillId="4" borderId="0" xfId="0" applyNumberFormat="1" applyFill="1" applyBorder="1" applyAlignment="1"/>
    <xf numFmtId="0" fontId="22" fillId="4" borderId="0" xfId="0" applyFont="1" applyFill="1" applyBorder="1" applyAlignment="1">
      <alignment horizontal="left"/>
    </xf>
    <xf numFmtId="0" fontId="13" fillId="5" borderId="0" xfId="0" applyFont="1" applyFill="1" applyAlignment="1"/>
    <xf numFmtId="0" fontId="13" fillId="0" borderId="0" xfId="0" applyFont="1" applyAlignment="1"/>
    <xf numFmtId="0" fontId="13" fillId="0" borderId="40" xfId="0" applyFont="1" applyBorder="1" applyAlignment="1"/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vertical="justify"/>
    </xf>
    <xf numFmtId="0" fontId="17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workbookViewId="0">
      <selection activeCell="F2" sqref="F2"/>
    </sheetView>
  </sheetViews>
  <sheetFormatPr defaultRowHeight="15" x14ac:dyDescent="0.25"/>
  <cols>
    <col min="1" max="1" width="2.42578125" customWidth="1"/>
    <col min="2" max="2" width="13.7109375" customWidth="1"/>
    <col min="3" max="3" width="14.140625" customWidth="1"/>
    <col min="4" max="11" width="10.7109375" customWidth="1"/>
    <col min="12" max="12" width="11.5703125" customWidth="1"/>
    <col min="13" max="14" width="10.7109375" customWidth="1"/>
    <col min="15" max="15" width="7.42578125" customWidth="1"/>
    <col min="16" max="16" width="2.140625" customWidth="1"/>
    <col min="17" max="19" width="90.7109375" customWidth="1"/>
    <col min="20" max="21" width="10.7109375" customWidth="1"/>
  </cols>
  <sheetData>
    <row r="1" spans="1:19" ht="14.25" customHeight="1" x14ac:dyDescent="0.3">
      <c r="A1" s="2"/>
      <c r="B1" s="3"/>
      <c r="C1" s="5" t="s">
        <v>3</v>
      </c>
      <c r="D1" s="6"/>
      <c r="E1" s="7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4"/>
      <c r="R1" s="65"/>
      <c r="S1" s="65"/>
    </row>
    <row r="2" spans="1:19" s="66" customFormat="1" ht="12.95" customHeight="1" x14ac:dyDescent="0.25">
      <c r="A2" s="2"/>
      <c r="B2" s="127" t="s">
        <v>40</v>
      </c>
      <c r="C2" s="128"/>
      <c r="D2" s="128"/>
      <c r="E2" s="129"/>
      <c r="F2" s="104" t="s">
        <v>38</v>
      </c>
      <c r="G2" s="72">
        <f>IF(AND(F2="Igen",MID(D4,1,1)&gt;"0",MID(D4,1,1)&lt;"5"),IF(E6&lt;1,INT(MIN(D6*(1-O4)*0.185,G6*0.185)+0.5),INT(MIN(MAX(G4-E6*0.15,0),G6*0.185)+0.5)),0)</f>
        <v>0</v>
      </c>
      <c r="H2" s="10" t="s">
        <v>6</v>
      </c>
      <c r="I2" s="72">
        <f>IF(AND(F2="Igen",MID(D4,1,1)&gt;"0",MID(D4,1,1)&lt;"5"),IF(E9&lt;1,INT(MIN(D9*(1-O4)*0.185,G9*0.185)+0.5),INT(MIN(IF(MID(D4,1,1)="4",INT(E9*0.15+0.5),MAX(G4-E9*0.15,0)),G9*0.185)+0.5)),0)</f>
        <v>0</v>
      </c>
      <c r="J2" s="10" t="s">
        <v>7</v>
      </c>
      <c r="K2" s="72">
        <f>IF(AND(F2="Igen",MID(D4,1,1)&gt;"0",MID(D4,1,1)&lt;"5"),IF(E12&lt;1,INT(MIN(D12*(1-O4)*0.185,G12*0.185)+0.5),INT(MIN(IF(MID(D4,1,1)="4",INT(E12*0.15+0.5),MAX(G4-E12*0.15,0)),G12*0.185)+0.5)),0)</f>
        <v>0</v>
      </c>
      <c r="L2" s="10" t="s">
        <v>8</v>
      </c>
      <c r="M2" s="72">
        <f>IF(AND(F2="Igen",MID(D4,1,1)&gt;"0",MID(D4,1,1)&lt;"5"),IF(E15&lt;1,INT(MIN(D15*(1-O4)*0.185,G15*0.185)+0.5),INT(MIN(IF(MID(D4,1,1)="4",INT(E15*0.15+0.5),MAX(G4-E15*0.15,0)),G15*0.185)+0.5)),0)</f>
        <v>0</v>
      </c>
      <c r="N2" s="10" t="s">
        <v>9</v>
      </c>
      <c r="O2" s="107" t="s">
        <v>53</v>
      </c>
      <c r="P2" s="2"/>
      <c r="Q2" s="4"/>
      <c r="R2" s="65"/>
      <c r="S2" s="65"/>
    </row>
    <row r="3" spans="1:19" ht="12.95" customHeight="1" x14ac:dyDescent="0.25">
      <c r="A3" s="2"/>
      <c r="B3" s="127" t="s">
        <v>39</v>
      </c>
      <c r="C3" s="128"/>
      <c r="D3" s="128"/>
      <c r="E3" s="129"/>
      <c r="F3" s="68"/>
      <c r="G3" s="73">
        <f>IF(AND(F2="Igen",MID(D4,1,1)&gt;"0",MID(D4,1,1)&lt;"5"),MIN(IF(MID(D4,1,1)="4",INT(E7*0.15+0.5),MAX(INT(G4-E7*0.15+0.5),0)),INT(G7*0.185+0.5)),0)</f>
        <v>0</v>
      </c>
      <c r="H3" s="71" t="s">
        <v>6</v>
      </c>
      <c r="I3" s="73">
        <f>IF(AND(F2="Igen",MID(D4,1,1)&gt;"0",MID(D4,1,1)&lt;"5"),MIN(IF(MID(D4,1,1)="4",INT(E10*0.15+0.5),MAX(INT(G4-E10*0.15+0.5),0)),INT(G10*0.185+0.5)),0)</f>
        <v>0</v>
      </c>
      <c r="J3" s="71" t="s">
        <v>7</v>
      </c>
      <c r="K3" s="73">
        <f>IF(AND(F2="Igen",MID(D4,1,1)&gt;"0",MID(D4,1,1)&lt;"5"),MIN(IF(MID(D4,1,1)="4",INT(E13*0.15+0.5),MAX(INT(G4-E13*0.15+0.5),0)),INT(G13*0.185+0.5)),0)</f>
        <v>0</v>
      </c>
      <c r="L3" s="71" t="s">
        <v>8</v>
      </c>
      <c r="M3" s="73">
        <f>IF(AND(F2="Igen",MID(D4,1,1)&gt;"0",MID(D4,1,1)&lt;"5"),MIN(IF(MID(D4,1,1)="4",INT(E16*0.15+0.5),MAX(INT(G4-E16*0.15+0.5),0)),INT(G16*0.185+0.5)),0)</f>
        <v>0</v>
      </c>
      <c r="N3" s="71" t="s">
        <v>9</v>
      </c>
      <c r="O3" s="76" t="s">
        <v>54</v>
      </c>
      <c r="P3" s="2"/>
      <c r="Q3" s="65"/>
      <c r="R3" s="65"/>
      <c r="S3" s="65"/>
    </row>
    <row r="4" spans="1:19" ht="12.95" customHeight="1" x14ac:dyDescent="0.25">
      <c r="A4" s="2"/>
      <c r="B4" s="130" t="s">
        <v>4</v>
      </c>
      <c r="C4" s="131"/>
      <c r="D4" s="132" t="s">
        <v>5</v>
      </c>
      <c r="E4" s="133"/>
      <c r="F4" s="134"/>
      <c r="G4" s="70">
        <f>IF(MID(D4,1,1)="1",10000,0)+IF(MID(D4,1,1)="2",40000,0)+IF(MID(D4,1,1)="3",99000,0)+IF(MID(D4,1,1)="4",INT(E6*0.15+0.5),0)+IF(MID(D4,1,1)="5",INT(MIN(E6,12*433700)*0.15+0.5),0)+IF(MID(D4,1,1)="6",5000,0)+IF(MID(D4,1,1)="7",9990,0)</f>
        <v>0</v>
      </c>
      <c r="H4" s="74" t="s">
        <v>6</v>
      </c>
      <c r="I4" s="9">
        <f>IF(MID(D4,1,1)="1",10000,0)+IF(MID(D4,1,1)="2",40000,0)+IF(MID(D4,1,1)="3",99000,0)+IF(MID(D4,1,1)="4",INT(E9*0.15+0.5),0)+IF(MID(D4,1,1)="5",INT(MIN(E9,MAX(12*433700-E6,0))*0.15+0.5),0)+IF(MID(D4,1,1)="6",5000,0)+IF(MID(D4,1,1)="7",9900,0)</f>
        <v>0</v>
      </c>
      <c r="J4" s="75" t="s">
        <v>7</v>
      </c>
      <c r="K4" s="9">
        <f>IF(MID(D4,1,1)="1",10000,0)+IF(MID(D4,1,1)="2",40000,0)+IF(MID(D4,1,1)="3",99000,0)+IF(MID(D4,1,1)="4",INT(E12*0.15+0.5),0)+IF(MID(D4,1,1)="5",INT(MIN(E12,MAX(12*433700-E6-E9,0))*0.15+0.5),0)+IF(MID(D4,1,1)="6",5000,0)+IF(MID(D4,1,1)="7",9900,0)</f>
        <v>0</v>
      </c>
      <c r="L4" s="75" t="s">
        <v>8</v>
      </c>
      <c r="M4" s="9">
        <f>IF(MID(D4,1,1)="1",10000,0)+IF(MID(D4,1,1)="2",40000,0)+IF(MID(D4,1,1)="3",99000,0)+IF(MID(D4,1,1)="4",INT(E15*0.15+0.5),0)+IF(MID(D4,1,1)="5",INT(MIN(E15,MAX(12*433700-E6-E9-E12,0))*0.15+0.5),0)+IF(MID(D4,1,1)="6",5000,0)+IF(MID(D4,1,1)="7",9900,0)</f>
        <v>0</v>
      </c>
      <c r="N4" s="75" t="s">
        <v>9</v>
      </c>
      <c r="O4" s="109">
        <v>0.4</v>
      </c>
      <c r="P4" s="2"/>
      <c r="Q4" s="65"/>
      <c r="R4" s="65"/>
      <c r="S4" s="69" t="s">
        <v>5</v>
      </c>
    </row>
    <row r="5" spans="1:19" x14ac:dyDescent="0.25">
      <c r="A5" s="2"/>
      <c r="B5" s="11" t="s">
        <v>1</v>
      </c>
      <c r="C5" s="12" t="s">
        <v>10</v>
      </c>
      <c r="D5" s="13" t="s">
        <v>34</v>
      </c>
      <c r="E5" s="12" t="s">
        <v>11</v>
      </c>
      <c r="F5" s="13" t="s">
        <v>35</v>
      </c>
      <c r="G5" s="13" t="s">
        <v>36</v>
      </c>
      <c r="H5" s="13" t="s">
        <v>12</v>
      </c>
      <c r="I5" s="13" t="s">
        <v>13</v>
      </c>
      <c r="J5" s="14" t="s">
        <v>14</v>
      </c>
      <c r="K5" s="14" t="s">
        <v>15</v>
      </c>
      <c r="L5" s="14" t="s">
        <v>32</v>
      </c>
      <c r="M5" s="15" t="s">
        <v>16</v>
      </c>
      <c r="N5" s="8" t="s">
        <v>17</v>
      </c>
      <c r="O5" s="8"/>
      <c r="P5" s="2"/>
      <c r="Q5" s="65"/>
      <c r="R5" s="65"/>
      <c r="S5" s="69" t="s">
        <v>18</v>
      </c>
    </row>
    <row r="6" spans="1:19" x14ac:dyDescent="0.25">
      <c r="A6" s="2"/>
      <c r="B6" s="16"/>
      <c r="C6" s="17" t="s">
        <v>41</v>
      </c>
      <c r="D6" s="18"/>
      <c r="E6" s="19">
        <f>MAX(D6*(1-O4)-1200000,0)</f>
        <v>0</v>
      </c>
      <c r="F6" s="19">
        <f>MAX(E6,INT(260000*1.125+0.5))</f>
        <v>292500</v>
      </c>
      <c r="G6" s="19">
        <f>MAX(E6,260000)</f>
        <v>260000</v>
      </c>
      <c r="H6" s="19">
        <f>INT(F6*0.13+0.5)</f>
        <v>38025</v>
      </c>
      <c r="I6" s="19">
        <f>MAX(INT(E6*0.15+0.5)-G4,0)</f>
        <v>0</v>
      </c>
      <c r="J6" s="19">
        <f>INT(G6*0.185+0.5)-G2</f>
        <v>48100</v>
      </c>
      <c r="K6" s="19">
        <f>INT(D6*(1-O4)*1.2*0.01+0.5)</f>
        <v>0</v>
      </c>
      <c r="L6" s="19">
        <f>H6+I6+J6+K6</f>
        <v>86125</v>
      </c>
      <c r="M6" s="19">
        <f>50000+2083</f>
        <v>52083</v>
      </c>
      <c r="N6" s="20">
        <f t="shared" ref="N6:N20" si="0">L6-M6</f>
        <v>34042</v>
      </c>
      <c r="O6" s="21" t="s">
        <v>20</v>
      </c>
      <c r="P6" s="2"/>
      <c r="Q6" s="65"/>
      <c r="R6" s="65"/>
      <c r="S6" s="69" t="s">
        <v>21</v>
      </c>
    </row>
    <row r="7" spans="1:19" x14ac:dyDescent="0.25">
      <c r="A7" s="2"/>
      <c r="B7" s="16" t="s">
        <v>22</v>
      </c>
      <c r="C7" s="22" t="s">
        <v>23</v>
      </c>
      <c r="D7" s="23">
        <f>D6</f>
        <v>0</v>
      </c>
      <c r="E7" s="24">
        <f>MAX(D7*(1-O4)-1200000,0)</f>
        <v>0</v>
      </c>
      <c r="F7" s="24">
        <f>E7</f>
        <v>0</v>
      </c>
      <c r="G7" s="24">
        <f>E7</f>
        <v>0</v>
      </c>
      <c r="H7" s="24">
        <f>INT(F7*0.13+0.5)</f>
        <v>0</v>
      </c>
      <c r="I7" s="24">
        <f>MAX(INT(E7*0.15+0.5)-G4,0)</f>
        <v>0</v>
      </c>
      <c r="J7" s="24">
        <f>INT(G7*0.185+0.5)-G3</f>
        <v>0</v>
      </c>
      <c r="K7" s="24">
        <f>K6</f>
        <v>0</v>
      </c>
      <c r="L7" s="24">
        <f t="shared" ref="L7:L17" si="1">H7+I7+J7+K7</f>
        <v>0</v>
      </c>
      <c r="M7" s="24">
        <f>25000+2083</f>
        <v>27083</v>
      </c>
      <c r="N7" s="25">
        <f t="shared" si="0"/>
        <v>-27083</v>
      </c>
      <c r="O7" s="26" t="s">
        <v>20</v>
      </c>
      <c r="P7" s="2"/>
      <c r="Q7" s="65"/>
      <c r="R7" s="65"/>
      <c r="S7" s="69" t="s">
        <v>24</v>
      </c>
    </row>
    <row r="8" spans="1:19" x14ac:dyDescent="0.25">
      <c r="A8" s="2"/>
      <c r="B8" s="4"/>
      <c r="C8" s="22" t="s">
        <v>25</v>
      </c>
      <c r="D8" s="27">
        <f>D7</f>
        <v>0</v>
      </c>
      <c r="E8" s="24">
        <f>MAX(D8*(1-O4)-1200000,0)</f>
        <v>0</v>
      </c>
      <c r="F8" s="28"/>
      <c r="G8" s="24">
        <f>E8</f>
        <v>0</v>
      </c>
      <c r="H8" s="28"/>
      <c r="I8" s="29">
        <f>MAX(INT(E8*0.15+0.5)-G4,0)</f>
        <v>0</v>
      </c>
      <c r="J8" s="28"/>
      <c r="K8" s="24">
        <f>K6</f>
        <v>0</v>
      </c>
      <c r="L8" s="24">
        <f t="shared" si="1"/>
        <v>0</v>
      </c>
      <c r="M8" s="24">
        <f>25000+2083</f>
        <v>27083</v>
      </c>
      <c r="N8" s="30">
        <f t="shared" si="0"/>
        <v>-27083</v>
      </c>
      <c r="O8" s="31" t="s">
        <v>20</v>
      </c>
      <c r="P8" s="2"/>
      <c r="Q8" s="65"/>
      <c r="R8" s="65"/>
      <c r="S8" s="69" t="s">
        <v>42</v>
      </c>
    </row>
    <row r="9" spans="1:19" x14ac:dyDescent="0.25">
      <c r="A9" s="2"/>
      <c r="B9" s="32"/>
      <c r="C9" s="17" t="s">
        <v>41</v>
      </c>
      <c r="D9" s="33"/>
      <c r="E9" s="19">
        <f>MAX((D6+D9)*(1-O4)-1200000,0)-E6</f>
        <v>0</v>
      </c>
      <c r="F9" s="19">
        <f>MAX(E9,INT(260000*1.125+0.5))</f>
        <v>292500</v>
      </c>
      <c r="G9" s="19">
        <f>MAX(E9,260000)</f>
        <v>260000</v>
      </c>
      <c r="H9" s="19">
        <f>INT(F9*0.13+0.5)</f>
        <v>38025</v>
      </c>
      <c r="I9" s="19">
        <f>MAX(INT(E9*0.15+0.5)-I4,0)</f>
        <v>0</v>
      </c>
      <c r="J9" s="19">
        <f>INT(G9*0.185+0.5)-I2</f>
        <v>48100</v>
      </c>
      <c r="K9" s="19">
        <f>INT(D9*(1-O4)*1.2*0.01+0.5)</f>
        <v>0</v>
      </c>
      <c r="L9" s="19">
        <f t="shared" si="1"/>
        <v>86125</v>
      </c>
      <c r="M9" s="19">
        <f>50000+2083</f>
        <v>52083</v>
      </c>
      <c r="N9" s="34">
        <f t="shared" si="0"/>
        <v>34042</v>
      </c>
      <c r="O9" t="s">
        <v>20</v>
      </c>
      <c r="P9" s="2"/>
      <c r="Q9" s="65"/>
      <c r="R9" s="65"/>
      <c r="S9" s="69" t="s">
        <v>26</v>
      </c>
    </row>
    <row r="10" spans="1:19" x14ac:dyDescent="0.25">
      <c r="A10" s="2"/>
      <c r="B10" s="35" t="s">
        <v>27</v>
      </c>
      <c r="C10" s="22" t="s">
        <v>23</v>
      </c>
      <c r="D10" s="36">
        <f>D9</f>
        <v>0</v>
      </c>
      <c r="E10" s="24">
        <f>MAX((D7+D10)*(1-O4)-1200000,0)-E7</f>
        <v>0</v>
      </c>
      <c r="F10" s="24">
        <f>E10</f>
        <v>0</v>
      </c>
      <c r="G10" s="24">
        <f>E10</f>
        <v>0</v>
      </c>
      <c r="H10" s="24">
        <f>INT(F10*0.13+0.5)</f>
        <v>0</v>
      </c>
      <c r="I10" s="24">
        <f>MAX(INT(E10*0.15+0.5)-I4,0)</f>
        <v>0</v>
      </c>
      <c r="J10" s="24">
        <f>INT(G10*0.185+0.5)-I3</f>
        <v>0</v>
      </c>
      <c r="K10" s="24">
        <f>K9</f>
        <v>0</v>
      </c>
      <c r="L10" s="24">
        <f t="shared" si="1"/>
        <v>0</v>
      </c>
      <c r="M10" s="24">
        <f>25000+2083</f>
        <v>27083</v>
      </c>
      <c r="N10" s="25">
        <f t="shared" si="0"/>
        <v>-27083</v>
      </c>
      <c r="O10" s="37" t="s">
        <v>20</v>
      </c>
      <c r="P10" s="2"/>
      <c r="Q10" s="65"/>
      <c r="R10" s="65"/>
      <c r="S10" s="69" t="s">
        <v>28</v>
      </c>
    </row>
    <row r="11" spans="1:19" x14ac:dyDescent="0.25">
      <c r="A11" s="2"/>
      <c r="B11" s="38"/>
      <c r="C11" s="39" t="s">
        <v>25</v>
      </c>
      <c r="D11" s="40">
        <f>D10</f>
        <v>0</v>
      </c>
      <c r="E11" s="24">
        <f>MAX((D8+D11)*(1-O4)-1200000,0)-E8</f>
        <v>0</v>
      </c>
      <c r="F11" s="28"/>
      <c r="G11" s="24">
        <f>E11</f>
        <v>0</v>
      </c>
      <c r="H11" s="28"/>
      <c r="I11" s="24">
        <f>MAX(INT(E11*0.15+0.5)-I4,0)</f>
        <v>0</v>
      </c>
      <c r="J11" s="28"/>
      <c r="K11" s="24">
        <f>K9</f>
        <v>0</v>
      </c>
      <c r="L11" s="24">
        <f t="shared" si="1"/>
        <v>0</v>
      </c>
      <c r="M11" s="24">
        <f>25000+2083</f>
        <v>27083</v>
      </c>
      <c r="N11" s="34">
        <f t="shared" si="0"/>
        <v>-27083</v>
      </c>
      <c r="O11" t="s">
        <v>20</v>
      </c>
      <c r="P11" s="2"/>
      <c r="Q11" s="65"/>
      <c r="R11" s="65"/>
      <c r="S11" s="69" t="s">
        <v>29</v>
      </c>
    </row>
    <row r="12" spans="1:19" x14ac:dyDescent="0.25">
      <c r="A12" s="2"/>
      <c r="B12" s="16"/>
      <c r="C12" s="17" t="s">
        <v>41</v>
      </c>
      <c r="D12" s="18"/>
      <c r="E12" s="19">
        <f>MAX((D6+D9+D12)*(1-O4)-1200000,0)-E6-E9</f>
        <v>0</v>
      </c>
      <c r="F12" s="19">
        <f>MAX(E12,INT(260000*1.125+0.5))</f>
        <v>292500</v>
      </c>
      <c r="G12" s="19">
        <f>MAX(E12,260000)</f>
        <v>260000</v>
      </c>
      <c r="H12" s="19">
        <f>INT(F12*0.13+0.5)</f>
        <v>38025</v>
      </c>
      <c r="I12" s="19">
        <f>MAX(INT(E12*0.15+0.5)-K4,0)</f>
        <v>0</v>
      </c>
      <c r="J12" s="19">
        <f>INT(G12*0.185+0.5)-K2</f>
        <v>48100</v>
      </c>
      <c r="K12" s="19">
        <f>INT(D12*(1-O4)*1.2*0.01+0.5)</f>
        <v>0</v>
      </c>
      <c r="L12" s="19">
        <f t="shared" si="1"/>
        <v>86125</v>
      </c>
      <c r="M12" s="19">
        <f>50000+2083</f>
        <v>52083</v>
      </c>
      <c r="N12" s="41">
        <f t="shared" si="0"/>
        <v>34042</v>
      </c>
      <c r="O12" s="42" t="s">
        <v>20</v>
      </c>
      <c r="P12" s="2"/>
      <c r="Q12" s="65"/>
      <c r="R12" s="65"/>
      <c r="S12" s="69"/>
    </row>
    <row r="13" spans="1:19" x14ac:dyDescent="0.25">
      <c r="A13" s="2"/>
      <c r="B13" s="35" t="s">
        <v>30</v>
      </c>
      <c r="C13" s="22" t="s">
        <v>23</v>
      </c>
      <c r="D13" s="23">
        <f>D12</f>
        <v>0</v>
      </c>
      <c r="E13" s="24">
        <f>MAX((D7+D10+D13)*(1-O4)-1200000,0)-E7-E10</f>
        <v>0</v>
      </c>
      <c r="F13" s="24">
        <f>E13</f>
        <v>0</v>
      </c>
      <c r="G13" s="24">
        <f>E13</f>
        <v>0</v>
      </c>
      <c r="H13" s="24">
        <f>INT(F13*0.13+0.5)</f>
        <v>0</v>
      </c>
      <c r="I13" s="24">
        <f>MAX(INT(E13*0.15+0.5)-K4,0)</f>
        <v>0</v>
      </c>
      <c r="J13" s="24">
        <f>INT(G13*0.185+0.5)-K3</f>
        <v>0</v>
      </c>
      <c r="K13" s="24">
        <f>K12</f>
        <v>0</v>
      </c>
      <c r="L13" s="24">
        <f t="shared" si="1"/>
        <v>0</v>
      </c>
      <c r="M13" s="24">
        <f>25000+2083</f>
        <v>27083</v>
      </c>
      <c r="N13" s="43">
        <f t="shared" si="0"/>
        <v>-27083</v>
      </c>
      <c r="O13" s="44" t="s">
        <v>20</v>
      </c>
      <c r="P13" s="2"/>
      <c r="Q13" s="65"/>
      <c r="R13" s="65"/>
      <c r="S13" s="69"/>
    </row>
    <row r="14" spans="1:19" x14ac:dyDescent="0.25">
      <c r="A14" s="2"/>
      <c r="B14" s="4"/>
      <c r="C14" s="22" t="s">
        <v>25</v>
      </c>
      <c r="D14" s="27">
        <f>D13</f>
        <v>0</v>
      </c>
      <c r="E14" s="24">
        <f>MAX((D8+D11+D14)*(1-O4)-1200000,0)-E8-E11</f>
        <v>0</v>
      </c>
      <c r="F14" s="28"/>
      <c r="G14" s="24">
        <f>E14</f>
        <v>0</v>
      </c>
      <c r="H14" s="28"/>
      <c r="I14" s="29">
        <f>MAX(INT(E14*0.15+0.5)-K4,0)</f>
        <v>0</v>
      </c>
      <c r="J14" s="28"/>
      <c r="K14" s="24">
        <f>K12</f>
        <v>0</v>
      </c>
      <c r="L14" s="24">
        <f t="shared" si="1"/>
        <v>0</v>
      </c>
      <c r="M14" s="24">
        <f>25000+2083</f>
        <v>27083</v>
      </c>
      <c r="N14" s="45">
        <f t="shared" si="0"/>
        <v>-27083</v>
      </c>
      <c r="O14" s="46" t="s">
        <v>20</v>
      </c>
      <c r="P14" s="2"/>
      <c r="Q14" s="65"/>
      <c r="R14" s="65"/>
      <c r="S14" s="69" t="s">
        <v>37</v>
      </c>
    </row>
    <row r="15" spans="1:19" x14ac:dyDescent="0.25">
      <c r="A15" s="2"/>
      <c r="B15" s="32"/>
      <c r="C15" s="17" t="s">
        <v>41</v>
      </c>
      <c r="D15" s="33"/>
      <c r="E15" s="19">
        <f>MAX((D6+D9+D12+D15)*(1-O4)-1200000,0)-E6-E9-E12</f>
        <v>0</v>
      </c>
      <c r="F15" s="19">
        <f>MAX(E15,INT(260000*1.125+0.5))</f>
        <v>292500</v>
      </c>
      <c r="G15" s="19">
        <f>MAX(E15,260000)</f>
        <v>260000</v>
      </c>
      <c r="H15" s="19">
        <f>INT(F15*0.13+0.5)</f>
        <v>38025</v>
      </c>
      <c r="I15" s="19">
        <f>MAX(INT(E15*0.15+0.5)-M4,0)</f>
        <v>0</v>
      </c>
      <c r="J15" s="19">
        <f>INT(G15*0.185+0.5)-M2</f>
        <v>48100</v>
      </c>
      <c r="K15" s="19">
        <f>INT(D15*(1-O4)*1.2*0.01+0.5)</f>
        <v>0</v>
      </c>
      <c r="L15" s="19">
        <f t="shared" si="1"/>
        <v>86125</v>
      </c>
      <c r="M15" s="19">
        <f>50000+2083</f>
        <v>52083</v>
      </c>
      <c r="N15" s="34">
        <f t="shared" si="0"/>
        <v>34042</v>
      </c>
      <c r="O15" t="s">
        <v>20</v>
      </c>
      <c r="P15" s="2"/>
      <c r="Q15" s="65"/>
      <c r="R15" s="65"/>
      <c r="S15" s="69" t="s">
        <v>38</v>
      </c>
    </row>
    <row r="16" spans="1:19" x14ac:dyDescent="0.25">
      <c r="A16" s="2"/>
      <c r="B16" s="35" t="s">
        <v>31</v>
      </c>
      <c r="C16" s="22" t="s">
        <v>23</v>
      </c>
      <c r="D16" s="36">
        <f>D15</f>
        <v>0</v>
      </c>
      <c r="E16" s="24">
        <f>MAX((D7+D10+D13+D16)*(1-O4)-1200000,0)-E7-E10-E13</f>
        <v>0</v>
      </c>
      <c r="F16" s="24">
        <f>E16</f>
        <v>0</v>
      </c>
      <c r="G16" s="24">
        <f>E16</f>
        <v>0</v>
      </c>
      <c r="H16" s="24">
        <f>INT(F16*0.13+0.5)</f>
        <v>0</v>
      </c>
      <c r="I16" s="24">
        <f>MAX(INT(E16*0.15+0.5)-M4,0)</f>
        <v>0</v>
      </c>
      <c r="J16" s="24">
        <f>INT(G16*0.185+0.5)-M3</f>
        <v>0</v>
      </c>
      <c r="K16" s="24">
        <f>K15</f>
        <v>0</v>
      </c>
      <c r="L16" s="24">
        <f t="shared" si="1"/>
        <v>0</v>
      </c>
      <c r="M16" s="24">
        <f>25000+2083</f>
        <v>27083</v>
      </c>
      <c r="N16" s="25">
        <f t="shared" si="0"/>
        <v>-27083</v>
      </c>
      <c r="O16" s="26" t="s">
        <v>20</v>
      </c>
      <c r="P16" s="2"/>
      <c r="Q16" s="65"/>
      <c r="R16" s="65"/>
      <c r="S16" s="69"/>
    </row>
    <row r="17" spans="1:21" x14ac:dyDescent="0.25">
      <c r="A17" s="2"/>
      <c r="B17" s="38"/>
      <c r="C17" s="39" t="s">
        <v>25</v>
      </c>
      <c r="D17" s="40">
        <f>D16</f>
        <v>0</v>
      </c>
      <c r="E17" s="47">
        <f>MAX((D8+D11+D14+D17)*(1-O4)-1200000,0)-E8-E11-E14</f>
        <v>0</v>
      </c>
      <c r="F17" s="47">
        <f>E17</f>
        <v>0</v>
      </c>
      <c r="G17" s="47">
        <f>E17</f>
        <v>0</v>
      </c>
      <c r="H17" s="48"/>
      <c r="I17" s="29">
        <f>MAX(INT(E17*0.15+0.5)-M4,0)</f>
        <v>0</v>
      </c>
      <c r="J17" s="48"/>
      <c r="K17" s="47">
        <f>K15</f>
        <v>0</v>
      </c>
      <c r="L17" s="47">
        <f t="shared" si="1"/>
        <v>0</v>
      </c>
      <c r="M17" s="24">
        <f>25000+2083</f>
        <v>27083</v>
      </c>
      <c r="N17" s="34">
        <f t="shared" si="0"/>
        <v>-27083</v>
      </c>
      <c r="O17" t="s">
        <v>20</v>
      </c>
      <c r="P17" s="2"/>
      <c r="Q17" s="65"/>
      <c r="R17" s="65"/>
      <c r="S17" s="110">
        <v>0.4</v>
      </c>
    </row>
    <row r="18" spans="1:21" x14ac:dyDescent="0.25">
      <c r="A18" s="2"/>
      <c r="B18" s="49"/>
      <c r="C18" s="50" t="s">
        <v>19</v>
      </c>
      <c r="D18" s="51">
        <f t="shared" ref="D18:L19" si="2">D6+D9+D12+D15</f>
        <v>0</v>
      </c>
      <c r="E18" s="52">
        <f t="shared" si="2"/>
        <v>0</v>
      </c>
      <c r="F18" s="52">
        <f t="shared" si="2"/>
        <v>1170000</v>
      </c>
      <c r="G18" s="52">
        <f t="shared" si="2"/>
        <v>1040000</v>
      </c>
      <c r="H18" s="53">
        <f t="shared" si="2"/>
        <v>152100</v>
      </c>
      <c r="I18" s="52">
        <f t="shared" si="2"/>
        <v>0</v>
      </c>
      <c r="J18" s="53">
        <f t="shared" si="2"/>
        <v>192400</v>
      </c>
      <c r="K18" s="52">
        <f t="shared" si="2"/>
        <v>0</v>
      </c>
      <c r="L18" s="52">
        <f t="shared" si="2"/>
        <v>344500</v>
      </c>
      <c r="M18" s="54">
        <f>M6+M9+M12+M15+INT((MAX(D18-6000000,0))*0.4+0.5)</f>
        <v>208332</v>
      </c>
      <c r="N18" s="55">
        <f t="shared" si="0"/>
        <v>136168</v>
      </c>
      <c r="O18" s="56" t="s">
        <v>20</v>
      </c>
      <c r="P18" s="2"/>
      <c r="Q18" s="65"/>
      <c r="R18" s="65"/>
      <c r="S18" s="110">
        <v>0.8</v>
      </c>
    </row>
    <row r="19" spans="1:21" x14ac:dyDescent="0.25">
      <c r="A19" s="2"/>
      <c r="B19" s="57" t="s">
        <v>32</v>
      </c>
      <c r="C19" s="50" t="s">
        <v>23</v>
      </c>
      <c r="D19" s="58">
        <f>D7+D10+D13+D16</f>
        <v>0</v>
      </c>
      <c r="E19" s="58">
        <f t="shared" si="2"/>
        <v>0</v>
      </c>
      <c r="F19" s="58">
        <f t="shared" si="2"/>
        <v>0</v>
      </c>
      <c r="G19" s="58">
        <f t="shared" si="2"/>
        <v>0</v>
      </c>
      <c r="H19" s="59">
        <f t="shared" si="2"/>
        <v>0</v>
      </c>
      <c r="I19" s="58">
        <f t="shared" si="2"/>
        <v>0</v>
      </c>
      <c r="J19" s="59">
        <f t="shared" si="2"/>
        <v>0</v>
      </c>
      <c r="K19" s="58">
        <f t="shared" si="2"/>
        <v>0</v>
      </c>
      <c r="L19" s="58">
        <f t="shared" si="2"/>
        <v>0</v>
      </c>
      <c r="M19" s="59">
        <f>M7+M10+M13+M16+INT((MAX(D19-6000000,0))*0.4+0.5)</f>
        <v>108332</v>
      </c>
      <c r="N19" s="60">
        <f t="shared" si="0"/>
        <v>-108332</v>
      </c>
      <c r="O19" s="61" t="s">
        <v>20</v>
      </c>
      <c r="P19" s="2"/>
      <c r="Q19" s="65"/>
      <c r="R19" s="65"/>
      <c r="S19" s="110">
        <v>0.9</v>
      </c>
    </row>
    <row r="20" spans="1:21" x14ac:dyDescent="0.25">
      <c r="A20" s="2"/>
      <c r="B20" s="78"/>
      <c r="C20" s="50" t="s">
        <v>25</v>
      </c>
      <c r="D20" s="79">
        <f>D8+D11+D14+D17</f>
        <v>0</v>
      </c>
      <c r="E20" s="79">
        <f>E8+E11+E14+E17</f>
        <v>0</v>
      </c>
      <c r="F20" s="79">
        <f>F8+F11+F14+F17</f>
        <v>0</v>
      </c>
      <c r="G20" s="79">
        <f>G8+G11+G14+G17</f>
        <v>0</v>
      </c>
      <c r="H20" s="82"/>
      <c r="I20" s="79">
        <f>I8+I11+I14+I17</f>
        <v>0</v>
      </c>
      <c r="J20" s="82"/>
      <c r="K20" s="79">
        <f>K8+K11+K14+K17</f>
        <v>0</v>
      </c>
      <c r="L20" s="79">
        <f>L8+L11+L14+L17</f>
        <v>0</v>
      </c>
      <c r="M20" s="83">
        <f>M8+M11+M14+M17+INT((MAX(D20-6000000,0))*0.4+0.5)</f>
        <v>108332</v>
      </c>
      <c r="N20" s="84">
        <f t="shared" si="0"/>
        <v>-108332</v>
      </c>
      <c r="O20" s="85" t="s">
        <v>20</v>
      </c>
      <c r="P20" s="2"/>
      <c r="Q20" s="65"/>
      <c r="R20" s="65"/>
      <c r="S20" s="69"/>
    </row>
    <row r="21" spans="1:21" x14ac:dyDescent="0.25">
      <c r="A21" s="2"/>
      <c r="B21" s="86"/>
      <c r="C21" s="89" t="s">
        <v>49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  <c r="P21" s="2"/>
      <c r="Q21" s="65"/>
      <c r="R21" s="65"/>
      <c r="S21" s="69"/>
      <c r="U21" s="108"/>
    </row>
    <row r="22" spans="1:21" x14ac:dyDescent="0.25">
      <c r="A22" s="2"/>
      <c r="B22" s="98" t="s">
        <v>43</v>
      </c>
      <c r="C22" s="99"/>
      <c r="D22" s="80">
        <f>E18</f>
        <v>0</v>
      </c>
      <c r="E22" s="99" t="s">
        <v>44</v>
      </c>
      <c r="F22" s="99"/>
      <c r="G22" s="80">
        <f>I18</f>
        <v>0</v>
      </c>
      <c r="H22" s="99" t="s">
        <v>47</v>
      </c>
      <c r="I22" s="99"/>
      <c r="J22" s="99"/>
      <c r="K22" s="81">
        <f>IF(MID(D4,1,1)="1",12*66670,0)+IF(MID(D4,1,1)="2",12*266660,0)+IF(MID(D4,1,1)="3",12*660000,0)</f>
        <v>0</v>
      </c>
      <c r="L22" s="105"/>
      <c r="M22" s="105"/>
      <c r="N22" s="106"/>
      <c r="O22" s="105"/>
      <c r="P22" s="2"/>
      <c r="Q22" s="65"/>
      <c r="R22" s="67"/>
      <c r="S22" s="69"/>
    </row>
    <row r="23" spans="1:21" x14ac:dyDescent="0.25">
      <c r="A23" s="2"/>
      <c r="B23" s="90" t="s">
        <v>45</v>
      </c>
      <c r="C23" s="91"/>
      <c r="D23" s="92"/>
      <c r="E23" s="93" t="s">
        <v>50</v>
      </c>
      <c r="F23" s="93"/>
      <c r="G23" s="93"/>
      <c r="H23" s="100">
        <f>INT((G2+I2+K2+M2)*6.67+0.5)</f>
        <v>0</v>
      </c>
      <c r="I23" s="93" t="s">
        <v>51</v>
      </c>
      <c r="J23" s="93"/>
      <c r="K23" s="100">
        <f>IF(F2="Igen",MIN(INT(MAX(K22-H23-D22,0)*0.15+0.5),INT(G18*0.185+0.5)-G2-I2-K2-M2),0)</f>
        <v>0</v>
      </c>
      <c r="L23" s="93" t="s">
        <v>52</v>
      </c>
      <c r="M23" s="93"/>
      <c r="N23" s="102">
        <f>IF(AND(MID(D4,1,1)&gt;"0",MID(D4,1,1)&lt;"5"),MAX(G22-INT(D22*0.15+0.5)-INT(MAX(K22-H23,0)*0.15+0.5),K23),0)</f>
        <v>0</v>
      </c>
      <c r="O23" s="93" t="s">
        <v>20</v>
      </c>
      <c r="P23" s="2"/>
      <c r="Q23" s="65"/>
      <c r="R23" s="65"/>
      <c r="S23" s="69"/>
    </row>
    <row r="24" spans="1:21" ht="15.75" thickBot="1" x14ac:dyDescent="0.3">
      <c r="A24" s="2"/>
      <c r="B24" s="94" t="s">
        <v>46</v>
      </c>
      <c r="C24" s="95"/>
      <c r="D24" s="96"/>
      <c r="E24" s="97" t="s">
        <v>50</v>
      </c>
      <c r="F24" s="97"/>
      <c r="G24" s="97"/>
      <c r="H24" s="101">
        <f>INT((G3+I3+K3+M3)*6.67+0.5)</f>
        <v>0</v>
      </c>
      <c r="I24" s="97" t="s">
        <v>48</v>
      </c>
      <c r="J24" s="97"/>
      <c r="K24" s="101">
        <f>IF(F2="Igen",MIN(INT(MAX(K22-H24-D22,0)*0.15+0.5),INT(G19*0.185+0.5)-G3-I3-K3-M3),0)</f>
        <v>0</v>
      </c>
      <c r="L24" s="97" t="s">
        <v>52</v>
      </c>
      <c r="M24" s="97"/>
      <c r="N24" s="103">
        <f>IF(AND(MID(D4,1,1)&gt;"0",MID(D4,1,1)&lt;"5"),MAX(G22-INT(D22*0.15+0.5)-INT(MAX(K22-H24,0)*0.15+0.5),K24),0)</f>
        <v>0</v>
      </c>
      <c r="O24" s="97" t="s">
        <v>20</v>
      </c>
      <c r="P24" s="2"/>
      <c r="Q24" s="65"/>
      <c r="R24" s="65"/>
      <c r="S24" s="65"/>
    </row>
    <row r="25" spans="1:21" ht="21.75" customHeight="1" thickTop="1" x14ac:dyDescent="0.3">
      <c r="A25" s="2"/>
      <c r="B25" s="62"/>
      <c r="C25" s="135" t="s">
        <v>0</v>
      </c>
      <c r="D25" s="136"/>
      <c r="E25" s="136"/>
      <c r="F25" s="136"/>
      <c r="G25" s="77" t="s">
        <v>2</v>
      </c>
      <c r="H25" s="62"/>
      <c r="I25" s="62"/>
      <c r="J25" s="62"/>
      <c r="K25" s="62"/>
      <c r="L25" s="62"/>
      <c r="M25" s="62"/>
      <c r="N25" s="62"/>
      <c r="O25" s="62"/>
      <c r="P25" s="62"/>
      <c r="Q25" s="65"/>
      <c r="R25" s="65"/>
      <c r="S25" s="65"/>
    </row>
    <row r="26" spans="1:21" ht="15.75" x14ac:dyDescent="0.25">
      <c r="A26" s="1"/>
      <c r="B26" s="1"/>
      <c r="C26" s="63" t="s">
        <v>33</v>
      </c>
      <c r="D26" s="1"/>
      <c r="E26" s="1"/>
      <c r="F26" s="64"/>
      <c r="G26" s="1"/>
      <c r="H26" s="1"/>
      <c r="I26" s="1"/>
      <c r="J26" s="65"/>
      <c r="K26" s="65"/>
      <c r="L26" s="65"/>
      <c r="M26" s="65"/>
      <c r="N26" s="65"/>
      <c r="O26" s="65"/>
      <c r="P26" s="65"/>
      <c r="Q26" s="4"/>
      <c r="R26" s="65"/>
      <c r="S26" s="4"/>
    </row>
    <row r="27" spans="1:2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21" x14ac:dyDescent="0.25">
      <c r="A28" s="4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4"/>
      <c r="N28" s="69"/>
      <c r="O28" s="4"/>
      <c r="P28" s="4"/>
      <c r="Q28" s="4"/>
      <c r="R28" s="4"/>
      <c r="S28" s="4"/>
    </row>
    <row r="29" spans="1:21" x14ac:dyDescent="0.25">
      <c r="A29" s="4"/>
      <c r="B29" s="112"/>
      <c r="C29" s="112"/>
      <c r="D29" s="116"/>
      <c r="E29" s="116"/>
      <c r="F29" s="115"/>
      <c r="G29" s="117"/>
      <c r="H29" s="112"/>
      <c r="I29" s="112"/>
      <c r="J29" s="112"/>
      <c r="K29" s="118"/>
      <c r="L29" s="112"/>
      <c r="M29" s="4"/>
      <c r="N29" s="69"/>
      <c r="O29" s="4"/>
      <c r="P29" s="4"/>
      <c r="Q29" s="4"/>
      <c r="R29" s="4"/>
      <c r="S29" s="4"/>
    </row>
    <row r="30" spans="1:21" x14ac:dyDescent="0.25">
      <c r="A30" s="4"/>
      <c r="B30" s="112"/>
      <c r="C30" s="112"/>
      <c r="D30" s="112"/>
      <c r="E30" s="112"/>
      <c r="F30" s="119"/>
      <c r="G30" s="112"/>
      <c r="H30" s="112"/>
      <c r="I30" s="112"/>
      <c r="J30" s="112"/>
      <c r="K30" s="119"/>
      <c r="L30" s="112"/>
      <c r="M30" s="4"/>
      <c r="N30" s="111" t="s">
        <v>59</v>
      </c>
      <c r="O30" s="4"/>
      <c r="P30" s="4"/>
      <c r="Q30" s="4"/>
      <c r="R30" s="4"/>
      <c r="S30" s="4"/>
    </row>
    <row r="31" spans="1:21" x14ac:dyDescent="0.25">
      <c r="A31" s="4"/>
      <c r="B31" s="112"/>
      <c r="C31" s="120"/>
      <c r="D31" s="121"/>
      <c r="E31" s="112"/>
      <c r="F31" s="112"/>
      <c r="G31" s="122"/>
      <c r="H31" s="123"/>
      <c r="I31" s="115"/>
      <c r="J31" s="124"/>
      <c r="K31" s="112"/>
      <c r="L31" s="112"/>
      <c r="M31" s="4"/>
      <c r="N31" s="111" t="s">
        <v>60</v>
      </c>
      <c r="O31" s="4"/>
      <c r="P31" s="4"/>
      <c r="Q31" s="4"/>
      <c r="R31" s="4"/>
      <c r="S31" s="4"/>
    </row>
    <row r="32" spans="1:21" x14ac:dyDescent="0.25">
      <c r="A32" s="4"/>
      <c r="B32" s="112"/>
      <c r="C32" s="112"/>
      <c r="D32" s="112"/>
      <c r="E32" s="112"/>
      <c r="F32" s="112"/>
      <c r="G32" s="112"/>
      <c r="H32" s="112"/>
      <c r="I32" s="115"/>
      <c r="J32" s="125"/>
      <c r="K32" s="125"/>
      <c r="L32" s="112"/>
      <c r="M32" s="4"/>
      <c r="N32" s="111" t="s">
        <v>61</v>
      </c>
      <c r="O32" s="4"/>
      <c r="P32" s="4"/>
      <c r="Q32" s="4"/>
      <c r="R32" s="4"/>
      <c r="S32" s="4"/>
    </row>
    <row r="33" spans="1:19" x14ac:dyDescent="0.25">
      <c r="A33" s="4"/>
      <c r="B33" s="112"/>
      <c r="C33" s="112"/>
      <c r="D33" s="112"/>
      <c r="E33" s="112"/>
      <c r="F33" s="112"/>
      <c r="G33" s="112"/>
      <c r="H33" s="112"/>
      <c r="I33" s="115"/>
      <c r="J33" s="125"/>
      <c r="K33" s="125"/>
      <c r="L33" s="112"/>
      <c r="M33" s="4"/>
      <c r="N33" s="69"/>
      <c r="O33" s="4"/>
      <c r="P33" s="4"/>
      <c r="Q33" s="4"/>
      <c r="R33" s="4"/>
      <c r="S33" s="4"/>
    </row>
    <row r="34" spans="1:19" x14ac:dyDescent="0.25">
      <c r="A34" s="4"/>
      <c r="B34" s="112"/>
      <c r="C34" s="120"/>
      <c r="D34" s="126"/>
      <c r="E34" s="112"/>
      <c r="F34" s="112"/>
      <c r="G34" s="122"/>
      <c r="H34" s="123"/>
      <c r="I34" s="115"/>
      <c r="J34" s="124"/>
      <c r="K34" s="112"/>
      <c r="L34" s="112"/>
      <c r="M34" s="4"/>
      <c r="N34" s="111" t="s">
        <v>55</v>
      </c>
      <c r="O34" s="4"/>
      <c r="P34" s="4"/>
      <c r="Q34" s="4"/>
      <c r="R34" s="4"/>
      <c r="S34" s="4"/>
    </row>
    <row r="35" spans="1:19" s="66" customFormat="1" x14ac:dyDescent="0.25">
      <c r="A35" s="4"/>
      <c r="B35" s="112"/>
      <c r="C35" s="112"/>
      <c r="D35" s="112"/>
      <c r="E35" s="112"/>
      <c r="F35" s="112"/>
      <c r="G35" s="112"/>
      <c r="H35" s="112"/>
      <c r="I35" s="112"/>
      <c r="J35" s="125"/>
      <c r="K35" s="125"/>
      <c r="L35" s="112"/>
      <c r="M35" s="4"/>
      <c r="N35" s="111" t="s">
        <v>56</v>
      </c>
      <c r="O35" s="4"/>
      <c r="P35" s="4"/>
      <c r="Q35" s="4"/>
      <c r="R35" s="4"/>
      <c r="S35" s="4"/>
    </row>
    <row r="36" spans="1:19" x14ac:dyDescent="0.25">
      <c r="A36" s="4"/>
      <c r="B36" s="112"/>
      <c r="C36" s="112"/>
      <c r="D36" s="112"/>
      <c r="E36" s="112"/>
      <c r="F36" s="112"/>
      <c r="G36" s="112"/>
      <c r="H36" s="113"/>
      <c r="I36" s="112"/>
      <c r="J36" s="125"/>
      <c r="K36" s="125"/>
      <c r="L36" s="112"/>
      <c r="M36" s="4"/>
      <c r="N36" s="111" t="s">
        <v>57</v>
      </c>
      <c r="O36" s="4"/>
      <c r="P36" s="4"/>
      <c r="Q36" s="4"/>
      <c r="R36" s="4"/>
      <c r="S36" s="4"/>
    </row>
    <row r="37" spans="1:19" x14ac:dyDescent="0.25">
      <c r="A37" s="4"/>
      <c r="B37" s="112"/>
      <c r="C37" s="112"/>
      <c r="D37" s="112"/>
      <c r="E37" s="112"/>
      <c r="F37" s="112"/>
      <c r="G37" s="112"/>
      <c r="H37" s="112"/>
      <c r="I37" s="112"/>
      <c r="J37" s="125"/>
      <c r="K37" s="125"/>
      <c r="L37" s="112"/>
      <c r="M37" s="4"/>
      <c r="N37" s="111" t="s">
        <v>58</v>
      </c>
      <c r="O37" s="4"/>
      <c r="P37" s="4"/>
      <c r="Q37" s="4"/>
      <c r="R37" s="4"/>
      <c r="S37" s="4"/>
    </row>
    <row r="38" spans="1:19" x14ac:dyDescent="0.25">
      <c r="A38" s="4"/>
      <c r="B38" s="112"/>
      <c r="C38" s="112"/>
      <c r="D38" s="112"/>
      <c r="E38" s="112"/>
      <c r="F38" s="112"/>
      <c r="G38" s="112"/>
      <c r="H38" s="112"/>
      <c r="I38" s="112"/>
      <c r="J38" s="125"/>
      <c r="K38" s="125"/>
      <c r="L38" s="112"/>
      <c r="M38" s="4"/>
      <c r="N38" s="69"/>
      <c r="O38" s="4"/>
      <c r="P38" s="4"/>
      <c r="Q38" s="4"/>
      <c r="R38" s="4"/>
      <c r="S38" s="4"/>
    </row>
    <row r="39" spans="1:19" x14ac:dyDescent="0.25">
      <c r="A39" s="4"/>
      <c r="B39" s="112"/>
      <c r="C39" s="112"/>
      <c r="D39" s="112"/>
      <c r="E39" s="112"/>
      <c r="F39" s="112"/>
      <c r="G39" s="112"/>
      <c r="H39" s="112"/>
      <c r="I39" s="112"/>
      <c r="J39" s="125"/>
      <c r="K39" s="125"/>
      <c r="L39" s="112"/>
      <c r="M39" s="4"/>
      <c r="N39" s="69"/>
      <c r="O39" s="4"/>
      <c r="P39" s="4"/>
      <c r="Q39" s="4"/>
      <c r="R39" s="4"/>
      <c r="S39" s="4"/>
    </row>
    <row r="40" spans="1:19" x14ac:dyDescent="0.25">
      <c r="A40" s="4"/>
      <c r="B40" s="112"/>
      <c r="C40" s="112"/>
      <c r="D40" s="112"/>
      <c r="E40" s="112"/>
      <c r="F40" s="112"/>
      <c r="G40" s="112"/>
      <c r="H40" s="112"/>
      <c r="I40" s="112"/>
      <c r="J40" s="125"/>
      <c r="K40" s="125"/>
      <c r="L40" s="112"/>
      <c r="M40" s="4"/>
      <c r="N40" s="69"/>
      <c r="O40" s="4"/>
      <c r="P40" s="4"/>
      <c r="Q40" s="4"/>
      <c r="R40" s="4"/>
      <c r="S40" s="4"/>
    </row>
    <row r="41" spans="1:19" x14ac:dyDescent="0.25">
      <c r="A41" s="4"/>
      <c r="B41" s="112"/>
      <c r="C41" s="112"/>
      <c r="D41" s="112"/>
      <c r="E41" s="112"/>
      <c r="F41" s="112"/>
      <c r="G41" s="112"/>
      <c r="H41" s="113"/>
      <c r="I41" s="112"/>
      <c r="J41" s="125"/>
      <c r="K41" s="125"/>
      <c r="L41" s="112"/>
      <c r="M41" s="4"/>
      <c r="N41" s="69"/>
      <c r="O41" s="4"/>
      <c r="P41" s="4"/>
      <c r="Q41" s="4"/>
      <c r="R41" s="4"/>
      <c r="S41" s="4"/>
    </row>
    <row r="42" spans="1:19" x14ac:dyDescent="0.25">
      <c r="A42" s="4"/>
      <c r="B42" s="112"/>
      <c r="C42" s="112"/>
      <c r="D42" s="112"/>
      <c r="E42" s="112"/>
      <c r="F42" s="112"/>
      <c r="G42" s="112"/>
      <c r="H42" s="113"/>
      <c r="I42" s="112"/>
      <c r="J42" s="125"/>
      <c r="K42" s="125"/>
      <c r="L42" s="112"/>
      <c r="M42" s="4"/>
      <c r="N42" s="4"/>
      <c r="O42" s="4"/>
      <c r="P42" s="4"/>
      <c r="Q42" s="4"/>
      <c r="R42" s="4"/>
      <c r="S42" s="4"/>
    </row>
    <row r="43" spans="1:19" x14ac:dyDescent="0.25">
      <c r="A43" s="4"/>
      <c r="B43" s="112"/>
      <c r="C43" s="112"/>
      <c r="D43" s="112"/>
      <c r="E43" s="112"/>
      <c r="F43" s="112"/>
      <c r="G43" s="112"/>
      <c r="H43" s="112"/>
      <c r="I43" s="112"/>
      <c r="J43" s="125"/>
      <c r="K43" s="125"/>
      <c r="L43" s="112"/>
      <c r="M43" s="4"/>
      <c r="N43" s="4"/>
      <c r="O43" s="4"/>
      <c r="P43" s="4"/>
      <c r="Q43" s="4"/>
      <c r="R43" s="4"/>
      <c r="S43" s="4"/>
    </row>
    <row r="44" spans="1:19" x14ac:dyDescent="0.25">
      <c r="A44" s="4"/>
      <c r="B44" s="114"/>
      <c r="C44" s="114"/>
      <c r="D44" s="114"/>
      <c r="E44" s="114"/>
      <c r="F44" s="114"/>
      <c r="G44" s="114"/>
      <c r="H44" s="112"/>
      <c r="I44" s="112"/>
      <c r="J44" s="125"/>
      <c r="K44" s="125"/>
      <c r="L44" s="112"/>
      <c r="M44" s="4"/>
      <c r="N44" s="4"/>
      <c r="O44" s="4"/>
      <c r="P44" s="4"/>
      <c r="Q44" s="4"/>
      <c r="R44" s="4"/>
      <c r="S44" s="4"/>
    </row>
    <row r="45" spans="1:19" x14ac:dyDescent="0.25">
      <c r="A45" s="4"/>
      <c r="B45" s="114"/>
      <c r="C45" s="114"/>
      <c r="D45" s="114"/>
      <c r="E45" s="114"/>
      <c r="F45" s="114"/>
      <c r="G45" s="114"/>
      <c r="H45" s="112"/>
      <c r="I45" s="112"/>
      <c r="J45" s="125"/>
      <c r="K45" s="125"/>
      <c r="L45" s="112"/>
      <c r="M45" s="4"/>
      <c r="N45" s="4"/>
      <c r="O45" s="4"/>
      <c r="P45" s="4"/>
      <c r="Q45" s="4"/>
      <c r="R45" s="4"/>
      <c r="S45" s="4"/>
    </row>
    <row r="46" spans="1:19" x14ac:dyDescent="0.25">
      <c r="A46" s="4"/>
      <c r="B46" s="114"/>
      <c r="C46" s="114"/>
      <c r="D46" s="114"/>
      <c r="E46" s="114"/>
      <c r="F46" s="114"/>
      <c r="G46" s="114"/>
      <c r="H46" s="112"/>
      <c r="I46" s="112"/>
      <c r="J46" s="125"/>
      <c r="K46" s="125"/>
      <c r="L46" s="112"/>
      <c r="M46" s="4"/>
      <c r="N46" s="4"/>
      <c r="O46" s="4"/>
      <c r="P46" s="4"/>
      <c r="Q46" s="4"/>
      <c r="R46" s="4"/>
      <c r="S46" s="4"/>
    </row>
    <row r="47" spans="1:19" x14ac:dyDescent="0.25">
      <c r="A47" s="4"/>
      <c r="B47" s="114"/>
      <c r="C47" s="114"/>
      <c r="D47" s="114"/>
      <c r="E47" s="114"/>
      <c r="F47" s="114"/>
      <c r="G47" s="114"/>
      <c r="H47" s="112"/>
      <c r="I47" s="115"/>
      <c r="J47" s="125"/>
      <c r="K47" s="125"/>
      <c r="L47" s="112"/>
      <c r="M47" s="4"/>
      <c r="N47" s="4"/>
      <c r="O47" s="4"/>
      <c r="P47" s="4"/>
      <c r="Q47" s="4"/>
      <c r="R47" s="4"/>
      <c r="S47" s="4"/>
    </row>
    <row r="48" spans="1:19" x14ac:dyDescent="0.25">
      <c r="A48" s="4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4"/>
      <c r="N48" s="4"/>
      <c r="O48" s="4"/>
      <c r="P48" s="4"/>
      <c r="Q48" s="4"/>
      <c r="R48" s="4"/>
      <c r="S48" s="4"/>
    </row>
    <row r="49" spans="1:19" x14ac:dyDescent="0.25">
      <c r="A49" s="4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4"/>
      <c r="N49" s="4"/>
      <c r="O49" s="4"/>
      <c r="P49" s="4"/>
      <c r="Q49" s="4"/>
      <c r="R49" s="4"/>
      <c r="S49" s="4"/>
    </row>
    <row r="50" spans="1:1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</sheetData>
  <sheetProtection algorithmName="SHA-512" hashValue="6DTNJNiOgXVSnwjWdsa9B8VcErF/YbdW9reV+LlfwH4o8DsR4iRoRBf/qTWDtKRXK0j46D1ndatuflHo2v3jMg==" saltValue="74wIM0Xceol0FlvtmEV/lA==" spinCount="100000" sheet="1" selectLockedCells="1"/>
  <mergeCells count="5">
    <mergeCell ref="B2:E2"/>
    <mergeCell ref="B3:E3"/>
    <mergeCell ref="B4:C4"/>
    <mergeCell ref="D4:F4"/>
    <mergeCell ref="C25:F25"/>
  </mergeCells>
  <phoneticPr fontId="3" type="noConversion"/>
  <dataValidations count="5">
    <dataValidation type="list" allowBlank="1" showInputMessage="1" showErrorMessage="1" sqref="D4:F4" xr:uid="{5F6B5462-820B-402D-995B-49555441BC69}">
      <formula1>$S$3:$S$11</formula1>
    </dataValidation>
    <dataValidation type="list" allowBlank="1" showInputMessage="1" showErrorMessage="1" sqref="F2" xr:uid="{E1F08901-C12E-4A8D-AB91-2A0AB801849C}">
      <formula1>$S$14:$S$15</formula1>
    </dataValidation>
    <dataValidation type="list" allowBlank="1" showInputMessage="1" showErrorMessage="1" sqref="O4" xr:uid="{AFA7E367-EAB4-4C34-B425-314255D3F467}">
      <formula1>$S$17:$S$19</formula1>
    </dataValidation>
    <dataValidation type="list" allowBlank="1" showInputMessage="1" showErrorMessage="1" sqref="D29:E29" xr:uid="{9C87B7E6-0140-4582-883D-039D17F997D5}">
      <formula1>$N$30:$N$32</formula1>
    </dataValidation>
    <dataValidation type="list" allowBlank="1" showInputMessage="1" showErrorMessage="1" sqref="G29" xr:uid="{6A1D28B3-5002-4292-84B8-7DEE800CB51B}">
      <formula1>$N$34:$N$37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AngyalJ</dc:creator>
  <cp:lastModifiedBy>Angyalado</cp:lastModifiedBy>
  <dcterms:created xsi:type="dcterms:W3CDTF">2009-06-21T13:54:24Z</dcterms:created>
  <dcterms:modified xsi:type="dcterms:W3CDTF">2022-08-26T08:42:16Z</dcterms:modified>
</cp:coreProperties>
</file>