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óska\Kalkulátorok\2024\"/>
    </mc:Choice>
  </mc:AlternateContent>
  <xr:revisionPtr revIDLastSave="0" documentId="13_ncr:1_{89F148D2-4C53-4DCB-A988-3EFEC95AE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yugdij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H45" i="1" l="1"/>
  <c r="F7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M14" i="1"/>
  <c r="N14" i="1" s="1"/>
  <c r="M15" i="1"/>
  <c r="N15" i="1" s="1"/>
  <c r="G15" i="1" s="1"/>
  <c r="M16" i="1"/>
  <c r="N16" i="1" s="1"/>
  <c r="G16" i="1" s="1"/>
  <c r="I16" i="1" s="1"/>
  <c r="M17" i="1"/>
  <c r="N17" i="1" s="1"/>
  <c r="G17" i="1" s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N19" i="1" s="1"/>
  <c r="M18" i="1"/>
  <c r="N18" i="1" s="1"/>
  <c r="M27" i="1"/>
  <c r="G14" i="1" l="1"/>
  <c r="I14" i="1" s="1"/>
  <c r="H15" i="1"/>
  <c r="I15" i="1"/>
  <c r="G18" i="1"/>
  <c r="I17" i="1"/>
  <c r="I18" i="1"/>
  <c r="H14" i="1" l="1"/>
  <c r="G19" i="1"/>
  <c r="I19" i="1" l="1"/>
  <c r="N21" i="1"/>
  <c r="G21" i="1" s="1"/>
  <c r="I21" i="1" l="1"/>
  <c r="N22" i="1"/>
  <c r="G22" i="1" s="1"/>
  <c r="H22" i="1" s="1"/>
  <c r="N23" i="1"/>
  <c r="G23" i="1" s="1"/>
  <c r="N24" i="1"/>
  <c r="G24" i="1" s="1"/>
  <c r="N25" i="1"/>
  <c r="G25" i="1" s="1"/>
  <c r="N26" i="1"/>
  <c r="G26" i="1" s="1"/>
  <c r="N27" i="1"/>
  <c r="G27" i="1" s="1"/>
  <c r="N28" i="1"/>
  <c r="G28" i="1" s="1"/>
  <c r="N29" i="1"/>
  <c r="G29" i="1" s="1"/>
  <c r="N30" i="1"/>
  <c r="G30" i="1" s="1"/>
  <c r="N31" i="1"/>
  <c r="G31" i="1" s="1"/>
  <c r="N32" i="1"/>
  <c r="G32" i="1" s="1"/>
  <c r="N34" i="1"/>
  <c r="G34" i="1" s="1"/>
  <c r="N35" i="1"/>
  <c r="G35" i="1" s="1"/>
  <c r="N36" i="1"/>
  <c r="G36" i="1" s="1"/>
  <c r="N37" i="1"/>
  <c r="G37" i="1" s="1"/>
  <c r="N38" i="1"/>
  <c r="G38" i="1" s="1"/>
  <c r="N39" i="1"/>
  <c r="G39" i="1" s="1"/>
  <c r="N40" i="1"/>
  <c r="G40" i="1" s="1"/>
  <c r="N41" i="1"/>
  <c r="G41" i="1" s="1"/>
  <c r="N42" i="1"/>
  <c r="G42" i="1" s="1"/>
  <c r="N43" i="1"/>
  <c r="G43" i="1" s="1"/>
  <c r="N44" i="1"/>
  <c r="G44" i="1" s="1"/>
  <c r="N45" i="1"/>
  <c r="G45" i="1" s="1"/>
  <c r="N46" i="1"/>
  <c r="G46" i="1" s="1"/>
  <c r="N47" i="1"/>
  <c r="G47" i="1" s="1"/>
  <c r="N48" i="1"/>
  <c r="G48" i="1" s="1"/>
  <c r="N49" i="1"/>
  <c r="G49" i="1" s="1"/>
  <c r="N50" i="1"/>
  <c r="G50" i="1" s="1"/>
  <c r="N20" i="1"/>
  <c r="H4" i="1"/>
  <c r="N33" i="1" l="1"/>
  <c r="G33" i="1" s="1"/>
  <c r="I46" i="1"/>
  <c r="I26" i="1"/>
  <c r="I48" i="1"/>
  <c r="I45" i="1"/>
  <c r="I37" i="1"/>
  <c r="I42" i="1"/>
  <c r="I39" i="1"/>
  <c r="I34" i="1"/>
  <c r="I31" i="1"/>
  <c r="I28" i="1"/>
  <c r="I43" i="1"/>
  <c r="I35" i="1"/>
  <c r="I29" i="1"/>
  <c r="I23" i="1"/>
  <c r="I50" i="1"/>
  <c r="I47" i="1"/>
  <c r="I49" i="1"/>
  <c r="I44" i="1"/>
  <c r="I41" i="1"/>
  <c r="I36" i="1"/>
  <c r="I30" i="1"/>
  <c r="I27" i="1"/>
  <c r="I24" i="1"/>
  <c r="I38" i="1"/>
  <c r="I40" i="1"/>
  <c r="I32" i="1"/>
  <c r="I25" i="1"/>
  <c r="I22" i="1"/>
  <c r="G20" i="1"/>
  <c r="I20" i="1" l="1"/>
  <c r="I33" i="1"/>
  <c r="H7" i="1" l="1"/>
  <c r="G9" i="1" s="1"/>
</calcChain>
</file>

<file path=xl/sharedStrings.xml><?xml version="1.0" encoding="utf-8"?>
<sst xmlns="http://schemas.openxmlformats.org/spreadsheetml/2006/main" count="23" uniqueCount="22">
  <si>
    <t>© Angyal József okleveles adószakértő</t>
  </si>
  <si>
    <t>Év</t>
  </si>
  <si>
    <t>Éves
jutalom</t>
  </si>
  <si>
    <t>Éves átlag
kereset</t>
  </si>
  <si>
    <t>Valorizált
összeg</t>
  </si>
  <si>
    <t>Szolgálati idő (évek száma):</t>
  </si>
  <si>
    <t>Százalék:</t>
  </si>
  <si>
    <t>%</t>
  </si>
  <si>
    <t xml:space="preserve"> Forint</t>
  </si>
  <si>
    <t>Nyugdíj alapja</t>
  </si>
  <si>
    <t xml:space="preserve">     Számított Havi átlagkereset:</t>
  </si>
  <si>
    <t xml:space="preserve">    Havi nyugdíj becsült összege:</t>
  </si>
  <si>
    <t>Szja alap
számítása</t>
  </si>
  <si>
    <t>Szja 
számítása</t>
  </si>
  <si>
    <t>nap</t>
  </si>
  <si>
    <t>Megjegyzés: Nem kell mindegyik évet kitölteni ahhoz, hogy a kalkulátor számoljon nyugdíjat.</t>
  </si>
  <si>
    <t>Biztosításból
kieső idő nap</t>
  </si>
  <si>
    <t>Nyugdíjjárulék
alapja (éves)</t>
  </si>
  <si>
    <t>Minél több évet tud megadni, annál pontosabb a havi nyugdíj becsült összege.</t>
  </si>
  <si>
    <t>A "zöld" színű mezőbe kell írnia, a "sárga" színű mezőket számolja a program.</t>
  </si>
  <si>
    <t>www.angyalado.hu</t>
  </si>
  <si>
    <t>Nyugdíj kalkulátor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</si>
</sst>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Ft&quot;"/>
    <numFmt numFmtId="165" formatCode="0.0"/>
    <numFmt numFmtId="166" formatCode="#,##0,&quot; nap&quot;"/>
    <numFmt numFmtId="167" formatCode="#,##0&quot; nap&quot;"/>
    <numFmt numFmtId="168" formatCode="#,##0.000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i/>
      <sz val="8"/>
      <color indexed="8"/>
      <name val="Tahoma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9"/>
      <color indexed="8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u/>
      <sz val="10"/>
      <color indexed="8"/>
      <name val="Calibri"/>
      <family val="2"/>
      <charset val="238"/>
    </font>
    <font>
      <sz val="11"/>
      <color indexed="55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11"/>
      <color indexed="13"/>
      <name val="Calibri"/>
      <family val="2"/>
      <charset val="238"/>
    </font>
    <font>
      <b/>
      <sz val="14"/>
      <color indexed="13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i/>
      <sz val="12"/>
      <color indexed="8"/>
      <name val="Tahoma"/>
      <family val="2"/>
      <charset val="238"/>
    </font>
    <font>
      <b/>
      <sz val="18"/>
      <color indexed="13"/>
      <name val="Tahoma"/>
      <family val="2"/>
      <charset val="238"/>
    </font>
    <font>
      <sz val="11"/>
      <color indexed="8"/>
      <name val="Tahoma"/>
      <family val="2"/>
      <charset val="238"/>
    </font>
    <font>
      <sz val="9"/>
      <color indexed="8"/>
      <name val="Calibri"/>
      <family val="2"/>
      <charset val="238"/>
    </font>
    <font>
      <b/>
      <u/>
      <sz val="11"/>
      <color indexed="13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u/>
      <sz val="11"/>
      <color rgb="FFFFFF00"/>
      <name val="Calibri"/>
      <family val="2"/>
      <charset val="238"/>
    </font>
    <font>
      <sz val="11"/>
      <name val="Calibri"/>
      <family val="2"/>
      <charset val="238"/>
    </font>
    <font>
      <sz val="11"/>
      <color theme="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0" xfId="0" applyFont="1" applyFill="1"/>
    <xf numFmtId="0" fontId="4" fillId="2" borderId="4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6" xfId="0" applyFont="1" applyBorder="1" applyAlignment="1">
      <alignment horizontal="center"/>
    </xf>
    <xf numFmtId="0" fontId="2" fillId="2" borderId="0" xfId="0" applyFont="1" applyFill="1"/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166" fontId="0" fillId="2" borderId="0" xfId="0" applyNumberFormat="1" applyFill="1"/>
    <xf numFmtId="0" fontId="14" fillId="2" borderId="0" xfId="0" applyFont="1" applyFill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1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right"/>
    </xf>
    <xf numFmtId="168" fontId="1" fillId="2" borderId="0" xfId="0" applyNumberFormat="1" applyFont="1" applyFill="1" applyAlignment="1">
      <alignment horizontal="right"/>
    </xf>
    <xf numFmtId="0" fontId="15" fillId="2" borderId="0" xfId="0" applyFont="1" applyFill="1"/>
    <xf numFmtId="0" fontId="16" fillId="2" borderId="0" xfId="0" applyFont="1" applyFill="1"/>
    <xf numFmtId="0" fontId="0" fillId="3" borderId="0" xfId="0" applyFill="1"/>
    <xf numFmtId="0" fontId="16" fillId="3" borderId="0" xfId="0" applyFont="1" applyFill="1"/>
    <xf numFmtId="0" fontId="0" fillId="3" borderId="1" xfId="0" applyFill="1" applyBorder="1"/>
    <xf numFmtId="0" fontId="5" fillId="3" borderId="0" xfId="0" applyFont="1" applyFill="1"/>
    <xf numFmtId="0" fontId="0" fillId="3" borderId="2" xfId="0" applyFill="1" applyBorder="1"/>
    <xf numFmtId="0" fontId="12" fillId="3" borderId="0" xfId="0" applyFont="1" applyFill="1"/>
    <xf numFmtId="1" fontId="18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/>
    <xf numFmtId="0" fontId="20" fillId="3" borderId="12" xfId="0" applyFont="1" applyFill="1" applyBorder="1"/>
    <xf numFmtId="0" fontId="21" fillId="3" borderId="13" xfId="0" applyFont="1" applyFill="1" applyBorder="1" applyAlignment="1">
      <alignment horizontal="left"/>
    </xf>
    <xf numFmtId="0" fontId="20" fillId="3" borderId="13" xfId="0" applyFont="1" applyFill="1" applyBorder="1"/>
    <xf numFmtId="0" fontId="20" fillId="3" borderId="14" xfId="0" applyFont="1" applyFill="1" applyBorder="1"/>
    <xf numFmtId="0" fontId="22" fillId="2" borderId="0" xfId="0" applyFont="1" applyFill="1"/>
    <xf numFmtId="0" fontId="23" fillId="2" borderId="0" xfId="0" applyFont="1" applyFill="1"/>
    <xf numFmtId="0" fontId="22" fillId="2" borderId="0" xfId="0" applyFont="1" applyFill="1" applyAlignment="1">
      <alignment horizontal="center"/>
    </xf>
    <xf numFmtId="0" fontId="24" fillId="2" borderId="0" xfId="0" applyFont="1" applyFill="1"/>
    <xf numFmtId="0" fontId="25" fillId="3" borderId="13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0" fillId="2" borderId="18" xfId="0" applyFill="1" applyBorder="1"/>
    <xf numFmtId="0" fontId="26" fillId="3" borderId="0" xfId="0" applyFont="1" applyFill="1"/>
    <xf numFmtId="0" fontId="26" fillId="3" borderId="2" xfId="0" applyFont="1" applyFill="1" applyBorder="1"/>
    <xf numFmtId="0" fontId="5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6" fillId="0" borderId="18" xfId="0" applyFont="1" applyBorder="1"/>
    <xf numFmtId="3" fontId="18" fillId="4" borderId="19" xfId="0" applyNumberFormat="1" applyFont="1" applyFill="1" applyBorder="1"/>
    <xf numFmtId="164" fontId="2" fillId="5" borderId="20" xfId="0" applyNumberFormat="1" applyFont="1" applyFill="1" applyBorder="1"/>
    <xf numFmtId="164" fontId="2" fillId="6" borderId="21" xfId="0" applyNumberFormat="1" applyFont="1" applyFill="1" applyBorder="1" applyProtection="1">
      <protection locked="0"/>
    </xf>
    <xf numFmtId="167" fontId="2" fillId="6" borderId="22" xfId="0" applyNumberFormat="1" applyFont="1" applyFill="1" applyBorder="1" applyAlignment="1" applyProtection="1">
      <alignment horizontal="center"/>
      <protection locked="0"/>
    </xf>
    <xf numFmtId="164" fontId="2" fillId="6" borderId="23" xfId="0" applyNumberFormat="1" applyFont="1" applyFill="1" applyBorder="1" applyProtection="1">
      <protection locked="0"/>
    </xf>
    <xf numFmtId="1" fontId="18" fillId="6" borderId="6" xfId="0" applyNumberFormat="1" applyFont="1" applyFill="1" applyBorder="1" applyAlignment="1" applyProtection="1">
      <alignment horizontal="center"/>
      <protection locked="0"/>
    </xf>
    <xf numFmtId="0" fontId="28" fillId="3" borderId="0" xfId="0" applyFont="1" applyFill="1"/>
    <xf numFmtId="3" fontId="2" fillId="7" borderId="23" xfId="0" applyNumberFormat="1" applyFont="1" applyFill="1" applyBorder="1"/>
    <xf numFmtId="165" fontId="2" fillId="7" borderId="23" xfId="0" applyNumberFormat="1" applyFont="1" applyFill="1" applyBorder="1" applyAlignment="1">
      <alignment horizontal="center"/>
    </xf>
    <xf numFmtId="164" fontId="2" fillId="7" borderId="24" xfId="0" applyNumberFormat="1" applyFont="1" applyFill="1" applyBorder="1"/>
    <xf numFmtId="164" fontId="2" fillId="7" borderId="25" xfId="0" applyNumberFormat="1" applyFont="1" applyFill="1" applyBorder="1"/>
    <xf numFmtId="3" fontId="17" fillId="7" borderId="26" xfId="0" applyNumberFormat="1" applyFont="1" applyFill="1" applyBorder="1"/>
    <xf numFmtId="164" fontId="2" fillId="7" borderId="27" xfId="0" applyNumberFormat="1" applyFont="1" applyFill="1" applyBorder="1"/>
    <xf numFmtId="0" fontId="30" fillId="3" borderId="0" xfId="1" applyFont="1" applyFill="1" applyAlignment="1" applyProtection="1"/>
    <xf numFmtId="3" fontId="32" fillId="2" borderId="0" xfId="0" applyNumberFormat="1" applyFont="1" applyFill="1"/>
    <xf numFmtId="0" fontId="31" fillId="2" borderId="0" xfId="0" applyFont="1" applyFill="1"/>
    <xf numFmtId="164" fontId="2" fillId="7" borderId="29" xfId="0" applyNumberFormat="1" applyFont="1" applyFill="1" applyBorder="1"/>
    <xf numFmtId="164" fontId="2" fillId="7" borderId="28" xfId="0" applyNumberFormat="1" applyFont="1" applyFill="1" applyBorder="1"/>
    <xf numFmtId="3" fontId="32" fillId="8" borderId="0" xfId="0" applyNumberFormat="1" applyFont="1" applyFill="1"/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workbookViewId="0">
      <selection activeCell="F4" sqref="F4"/>
    </sheetView>
  </sheetViews>
  <sheetFormatPr defaultRowHeight="15" x14ac:dyDescent="0.25"/>
  <cols>
    <col min="1" max="1" width="3.5703125" customWidth="1"/>
    <col min="2" max="2" width="2.7109375" customWidth="1"/>
    <col min="3" max="3" width="6.7109375" customWidth="1"/>
    <col min="4" max="4" width="14.7109375" customWidth="1"/>
    <col min="5" max="5" width="12.28515625" customWidth="1"/>
    <col min="6" max="6" width="12.5703125" customWidth="1"/>
    <col min="7" max="8" width="13.7109375" customWidth="1"/>
    <col min="9" max="9" width="4.42578125" customWidth="1"/>
    <col min="10" max="10" width="2.7109375" customWidth="1"/>
    <col min="11" max="11" width="3.85546875" customWidth="1"/>
    <col min="12" max="12" width="129.28515625" customWidth="1"/>
    <col min="13" max="13" width="41.140625" customWidth="1"/>
    <col min="14" max="14" width="30.7109375" customWidth="1"/>
    <col min="15" max="15" width="12.42578125" customWidth="1"/>
    <col min="16" max="16" width="9.5703125" bestFit="1" customWidth="1"/>
  </cols>
  <sheetData>
    <row r="1" spans="1:15" ht="9" customHeight="1" thickBo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1"/>
      <c r="M1" s="29"/>
      <c r="N1" s="29"/>
      <c r="O1" s="29"/>
    </row>
    <row r="2" spans="1:15" ht="25.5" customHeight="1" x14ac:dyDescent="0.3">
      <c r="A2" s="46"/>
      <c r="B2" s="47"/>
      <c r="C2" s="55" t="s">
        <v>21</v>
      </c>
      <c r="D2" s="48"/>
      <c r="E2" s="48"/>
      <c r="F2" s="48"/>
      <c r="G2" s="49"/>
      <c r="H2" s="49"/>
      <c r="I2" s="49"/>
      <c r="J2" s="50"/>
      <c r="K2" s="46"/>
      <c r="L2" s="1"/>
      <c r="M2" s="29"/>
      <c r="N2" s="29"/>
      <c r="O2" s="29"/>
    </row>
    <row r="3" spans="1:15" ht="6" customHeight="1" x14ac:dyDescent="0.25">
      <c r="A3" s="36"/>
      <c r="B3" s="2"/>
      <c r="C3" s="1"/>
      <c r="D3" s="1"/>
      <c r="E3" s="1"/>
      <c r="F3" s="1"/>
      <c r="G3" s="1"/>
      <c r="H3" s="1"/>
      <c r="I3" s="1"/>
      <c r="J3" s="3"/>
      <c r="K3" s="36"/>
      <c r="L3" s="1"/>
      <c r="M3" s="29"/>
      <c r="N3" s="29"/>
      <c r="O3" s="29"/>
    </row>
    <row r="4" spans="1:15" ht="15" customHeight="1" x14ac:dyDescent="0.25">
      <c r="A4" s="36"/>
      <c r="B4" s="2"/>
      <c r="C4" s="23" t="s">
        <v>5</v>
      </c>
      <c r="D4" s="9"/>
      <c r="E4" s="9"/>
      <c r="F4" s="71">
        <v>40</v>
      </c>
      <c r="G4" s="24" t="s">
        <v>6</v>
      </c>
      <c r="H4" s="74">
        <f>IF(F4&lt;10,0,IF(F4&lt;26,33+(F4-10)*2,IF(F4&lt;37,63+(F4-25),IF(F4&lt;41,74+(F4-36)*1.5,MIN(80+(F4-40)*2,100)))))</f>
        <v>80</v>
      </c>
      <c r="I4" s="53" t="s">
        <v>7</v>
      </c>
      <c r="J4" s="3"/>
      <c r="K4" s="36"/>
      <c r="L4" s="1"/>
      <c r="M4" s="29"/>
      <c r="N4" s="29"/>
      <c r="O4" s="29"/>
    </row>
    <row r="5" spans="1:15" ht="6.75" customHeight="1" x14ac:dyDescent="0.25">
      <c r="A5" s="36"/>
      <c r="B5" s="38"/>
      <c r="C5" s="41"/>
      <c r="D5" s="39"/>
      <c r="E5" s="39"/>
      <c r="F5" s="42"/>
      <c r="G5" s="43"/>
      <c r="H5" s="44"/>
      <c r="I5" s="45"/>
      <c r="J5" s="40"/>
      <c r="K5" s="36"/>
      <c r="L5" s="1"/>
      <c r="M5" s="29"/>
      <c r="N5" s="29"/>
      <c r="O5" s="29"/>
    </row>
    <row r="6" spans="1:15" ht="7.5" customHeight="1" x14ac:dyDescent="0.25">
      <c r="A6" s="36"/>
      <c r="B6" s="2"/>
      <c r="C6" s="9"/>
      <c r="D6" s="9"/>
      <c r="E6" s="9"/>
      <c r="F6" s="14"/>
      <c r="G6" s="1"/>
      <c r="H6" s="15"/>
      <c r="I6" s="1"/>
      <c r="J6" s="3"/>
      <c r="K6" s="36"/>
      <c r="L6" s="1"/>
      <c r="M6" s="29"/>
      <c r="N6" s="29"/>
      <c r="O6" s="29"/>
    </row>
    <row r="7" spans="1:15" ht="15" customHeight="1" x14ac:dyDescent="0.25">
      <c r="A7" s="36"/>
      <c r="B7" s="2"/>
      <c r="C7" s="17" t="s">
        <v>10</v>
      </c>
      <c r="D7" s="1"/>
      <c r="E7" s="1"/>
      <c r="F7" s="73">
        <f>INT(SUM(H14:H50)/(MAX(SUM(I14:I50)-SUM(F14:F50),1)/365)/12+0.5)</f>
        <v>510975</v>
      </c>
      <c r="G7" s="26" t="s">
        <v>9</v>
      </c>
      <c r="H7" s="73">
        <f>IF(F7&lt;372001,F7,IF(F7&lt;421001,372000+(F7-372000)*0.9,416100+(F7-421000)*0.8))</f>
        <v>488080</v>
      </c>
      <c r="I7" s="52" t="s">
        <v>8</v>
      </c>
      <c r="J7" s="3"/>
      <c r="K7" s="36"/>
      <c r="L7" s="1"/>
      <c r="M7" s="29"/>
      <c r="N7" s="30"/>
      <c r="O7" s="29"/>
    </row>
    <row r="8" spans="1:15" ht="9.75" customHeight="1" thickBot="1" x14ac:dyDescent="0.3">
      <c r="A8" s="36"/>
      <c r="B8" s="2"/>
      <c r="C8" s="1"/>
      <c r="D8" s="11"/>
      <c r="E8" s="12"/>
      <c r="F8" s="11"/>
      <c r="G8" s="12"/>
      <c r="H8" s="11"/>
      <c r="I8" s="7"/>
      <c r="J8" s="3"/>
      <c r="K8" s="36"/>
      <c r="L8" s="1"/>
      <c r="M8" s="29"/>
      <c r="N8" s="29"/>
      <c r="O8" s="29"/>
    </row>
    <row r="9" spans="1:15" ht="15" customHeight="1" thickTop="1" thickBot="1" x14ac:dyDescent="0.3">
      <c r="A9" s="36"/>
      <c r="B9" s="2"/>
      <c r="C9" s="54" t="s">
        <v>11</v>
      </c>
      <c r="D9" s="9"/>
      <c r="E9" s="9"/>
      <c r="G9" s="66">
        <f>MAX(H7*H4/100,28500)</f>
        <v>390464</v>
      </c>
      <c r="H9" s="51" t="s">
        <v>8</v>
      </c>
      <c r="J9" s="3"/>
      <c r="K9" s="36"/>
      <c r="L9" s="1"/>
      <c r="M9" s="29"/>
      <c r="N9" s="29"/>
      <c r="O9" s="29"/>
    </row>
    <row r="10" spans="1:15" ht="9.75" customHeight="1" thickTop="1" x14ac:dyDescent="0.25">
      <c r="A10" s="36"/>
      <c r="B10" s="13"/>
      <c r="C10" s="1"/>
      <c r="D10" s="1"/>
      <c r="E10" s="1"/>
      <c r="F10" s="1"/>
      <c r="G10" s="1"/>
      <c r="H10" s="7"/>
      <c r="I10" s="1"/>
      <c r="J10" s="3"/>
      <c r="K10" s="36"/>
      <c r="L10" s="1"/>
      <c r="M10" s="29"/>
      <c r="N10" s="29"/>
      <c r="O10" s="29"/>
    </row>
    <row r="11" spans="1:15" ht="9.75" customHeight="1" x14ac:dyDescent="0.25">
      <c r="A11" s="36"/>
      <c r="B11" s="38"/>
      <c r="C11" s="39"/>
      <c r="D11" s="39"/>
      <c r="E11" s="39"/>
      <c r="F11" s="62"/>
      <c r="G11" s="62"/>
      <c r="H11" s="62"/>
      <c r="I11" s="60"/>
      <c r="J11" s="61"/>
      <c r="K11" s="36"/>
      <c r="L11" s="1"/>
      <c r="M11" s="29"/>
      <c r="N11" s="29"/>
      <c r="O11" s="29"/>
    </row>
    <row r="12" spans="1:15" ht="9" customHeight="1" x14ac:dyDescent="0.25">
      <c r="A12" s="36"/>
      <c r="B12" s="2"/>
      <c r="C12" s="10"/>
      <c r="D12" s="10"/>
      <c r="E12" s="64"/>
      <c r="F12" s="59"/>
      <c r="G12" s="59"/>
      <c r="H12" s="65"/>
      <c r="I12" s="63"/>
      <c r="J12" s="3"/>
      <c r="K12" s="36"/>
      <c r="L12" s="1"/>
      <c r="M12" s="29"/>
      <c r="N12" s="29"/>
      <c r="O12" s="29"/>
    </row>
    <row r="13" spans="1:15" ht="27.75" customHeight="1" x14ac:dyDescent="0.25">
      <c r="A13" s="36"/>
      <c r="B13" s="2"/>
      <c r="C13" s="16" t="s">
        <v>1</v>
      </c>
      <c r="D13" s="21" t="s">
        <v>17</v>
      </c>
      <c r="E13" s="56" t="s">
        <v>2</v>
      </c>
      <c r="F13" s="57" t="s">
        <v>16</v>
      </c>
      <c r="G13" s="58" t="s">
        <v>3</v>
      </c>
      <c r="H13" s="22" t="s">
        <v>4</v>
      </c>
      <c r="I13" s="20" t="s">
        <v>14</v>
      </c>
      <c r="J13" s="3"/>
      <c r="K13" s="36"/>
      <c r="L13" s="1"/>
      <c r="M13" s="31" t="s">
        <v>12</v>
      </c>
      <c r="N13" s="31" t="s">
        <v>13</v>
      </c>
      <c r="O13" s="31"/>
    </row>
    <row r="14" spans="1:15" ht="12.95" customHeight="1" x14ac:dyDescent="0.25">
      <c r="A14" s="36"/>
      <c r="B14" s="2"/>
      <c r="C14" s="18">
        <v>2024</v>
      </c>
      <c r="D14" s="68">
        <v>1654000</v>
      </c>
      <c r="E14" s="67"/>
      <c r="F14" s="69">
        <v>211</v>
      </c>
      <c r="G14" s="75">
        <f t="shared" ref="G14" si="0">D14*0.815-N14</f>
        <v>1145808.5</v>
      </c>
      <c r="H14" s="82">
        <f>G14*1</f>
        <v>1145808.5</v>
      </c>
      <c r="I14" s="77">
        <f>IF(G14&gt;0,366,0)</f>
        <v>366</v>
      </c>
      <c r="J14" s="3"/>
      <c r="K14" s="36"/>
      <c r="L14" s="1"/>
      <c r="M14" s="84">
        <f>IF(F14&lt;366,MAX((D14/(366-F14)*366)*0.815,0),0)</f>
        <v>3183042.967741935</v>
      </c>
      <c r="N14" s="84">
        <f>MAX((M14*0.15)/366*(366-F14),0)</f>
        <v>202201.49999999997</v>
      </c>
      <c r="O14" s="31"/>
    </row>
    <row r="15" spans="1:15" ht="12.95" customHeight="1" x14ac:dyDescent="0.25">
      <c r="A15" s="36"/>
      <c r="B15" s="2"/>
      <c r="C15" s="18">
        <v>2023</v>
      </c>
      <c r="D15" s="68">
        <v>1250000</v>
      </c>
      <c r="E15" s="67"/>
      <c r="F15" s="69"/>
      <c r="G15" s="75">
        <f t="shared" ref="G15" si="1">D15*0.815-N15</f>
        <v>865937.49999999988</v>
      </c>
      <c r="H15" s="78">
        <f>G15*1</f>
        <v>865937.49999999988</v>
      </c>
      <c r="I15" s="77">
        <f>IF(G15&gt;0,365,0)</f>
        <v>365</v>
      </c>
      <c r="J15" s="3"/>
      <c r="K15" s="36"/>
      <c r="L15" s="1"/>
      <c r="M15" s="84">
        <f>IF(F15&lt;365,MAX((D15/(365-F15)*365)*0.815,0),0)</f>
        <v>1018749.9999999999</v>
      </c>
      <c r="N15" s="84">
        <f>MAX((M15*0.15)/365*(365-F15),0)</f>
        <v>152812.49999999997</v>
      </c>
      <c r="O15" s="31"/>
    </row>
    <row r="16" spans="1:15" ht="12.95" customHeight="1" x14ac:dyDescent="0.25">
      <c r="A16" s="36"/>
      <c r="B16" s="2"/>
      <c r="C16" s="18">
        <v>2022</v>
      </c>
      <c r="D16" s="68">
        <v>2950000</v>
      </c>
      <c r="E16" s="67"/>
      <c r="F16" s="69"/>
      <c r="G16" s="75">
        <f t="shared" ref="G16" si="2">D16*0.815-N16</f>
        <v>2043612.5</v>
      </c>
      <c r="H16" s="78">
        <f>G16*1.142</f>
        <v>2333805.4749999996</v>
      </c>
      <c r="I16" s="77">
        <f>IF(G16&gt;0,365,0)</f>
        <v>365</v>
      </c>
      <c r="J16" s="3"/>
      <c r="K16" s="36"/>
      <c r="L16" s="1"/>
      <c r="M16" s="84">
        <f>IF(F16&lt;365,MAX((D16/(365-F16)*365)*0.815,0),0)</f>
        <v>2404250</v>
      </c>
      <c r="N16" s="84">
        <f>MAX((M16*0.15)/365*(365-F16),0)</f>
        <v>360637.5</v>
      </c>
      <c r="O16" s="31"/>
    </row>
    <row r="17" spans="1:16" ht="12.95" customHeight="1" x14ac:dyDescent="0.25">
      <c r="A17" s="36"/>
      <c r="B17" s="2"/>
      <c r="C17" s="18">
        <v>2021</v>
      </c>
      <c r="D17" s="68"/>
      <c r="E17" s="67"/>
      <c r="F17" s="69"/>
      <c r="G17" s="75">
        <f t="shared" ref="G17" si="3">D17*0.815-N17</f>
        <v>0</v>
      </c>
      <c r="H17" s="83">
        <f>G17*1.342</f>
        <v>0</v>
      </c>
      <c r="I17" s="77">
        <f>IF(G17&gt;0,365,0)</f>
        <v>0</v>
      </c>
      <c r="J17" s="3"/>
      <c r="K17" s="36"/>
      <c r="L17" s="1"/>
      <c r="M17" s="84">
        <f>IF(F17&lt;365,MAX((D17/(365-F17)*365)*0.815,0),0)</f>
        <v>0</v>
      </c>
      <c r="N17" s="84">
        <f>MAX((M17*0.15)/365*(365-F17),0)</f>
        <v>0</v>
      </c>
      <c r="O17" s="31"/>
    </row>
    <row r="18" spans="1:16" ht="12.75" customHeight="1" x14ac:dyDescent="0.25">
      <c r="A18" s="36"/>
      <c r="B18" s="2"/>
      <c r="C18" s="18">
        <v>2020</v>
      </c>
      <c r="D18" s="68"/>
      <c r="E18" s="67"/>
      <c r="F18" s="69"/>
      <c r="G18" s="75">
        <f t="shared" ref="G18" si="4">D18*0.815-N18</f>
        <v>0</v>
      </c>
      <c r="H18" s="76">
        <f>G18*1.458</f>
        <v>0</v>
      </c>
      <c r="I18" s="77">
        <f>IF(G18&gt;0,366,0)</f>
        <v>0</v>
      </c>
      <c r="J18" s="3"/>
      <c r="K18" s="36"/>
      <c r="L18" s="1"/>
      <c r="M18" s="84">
        <f>IF(F18&lt;366,MAX((D18/(366-F18)*366)*0.815,0),0)</f>
        <v>0</v>
      </c>
      <c r="N18" s="84">
        <f>MAX((M18*0.15)/366*(366-F18),0)</f>
        <v>0</v>
      </c>
      <c r="O18" s="31"/>
    </row>
    <row r="19" spans="1:16" ht="12.75" customHeight="1" x14ac:dyDescent="0.25">
      <c r="A19" s="36"/>
      <c r="B19" s="2"/>
      <c r="C19" s="18">
        <v>2019</v>
      </c>
      <c r="D19" s="68"/>
      <c r="E19" s="67"/>
      <c r="F19" s="69"/>
      <c r="G19" s="75">
        <f t="shared" ref="G19" si="5">D19*0.815-N19</f>
        <v>0</v>
      </c>
      <c r="H19" s="78">
        <f>G19*1.6</f>
        <v>0</v>
      </c>
      <c r="I19" s="77">
        <f>IF(G19&gt;0,365,0)</f>
        <v>0</v>
      </c>
      <c r="J19" s="3"/>
      <c r="K19" s="36"/>
      <c r="L19" s="1"/>
      <c r="M19" s="84">
        <f>IF(F19&lt;365,MAX((D19/(365-F19)*365)*0.815,0),0)</f>
        <v>0</v>
      </c>
      <c r="N19" s="84">
        <f>MAX((M19*0.15)/365*(365-F19),0)</f>
        <v>0</v>
      </c>
      <c r="O19" s="31"/>
    </row>
    <row r="20" spans="1:16" ht="12.75" customHeight="1" x14ac:dyDescent="0.25">
      <c r="A20" s="36"/>
      <c r="B20" s="2"/>
      <c r="C20" s="18">
        <v>2018</v>
      </c>
      <c r="D20" s="68">
        <v>2877120</v>
      </c>
      <c r="E20" s="67"/>
      <c r="F20" s="69"/>
      <c r="G20" s="75">
        <f t="shared" ref="G20:G25" si="6">D20*0.815-N20</f>
        <v>1993124.88</v>
      </c>
      <c r="H20" s="78">
        <f>G20*1.782</f>
        <v>3551748.5361599997</v>
      </c>
      <c r="I20" s="77">
        <f>IF(G20&gt;0,365,0)</f>
        <v>365</v>
      </c>
      <c r="J20" s="3"/>
      <c r="K20" s="36"/>
      <c r="L20" s="1"/>
      <c r="M20" s="84">
        <f>IF(F20&lt;365,MAX((D20/(365-F20)*365)*0.815,0),0)</f>
        <v>2344852.7999999998</v>
      </c>
      <c r="N20" s="84">
        <f>MAX((M20*0.15)/365*(365-F20),0)</f>
        <v>351727.92</v>
      </c>
      <c r="O20" s="31"/>
    </row>
    <row r="21" spans="1:16" ht="12.75" customHeight="1" x14ac:dyDescent="0.25">
      <c r="A21" s="36"/>
      <c r="B21" s="2"/>
      <c r="C21" s="18">
        <v>2017</v>
      </c>
      <c r="D21" s="68">
        <v>1080000</v>
      </c>
      <c r="E21" s="67"/>
      <c r="F21" s="69"/>
      <c r="G21" s="75">
        <f t="shared" si="6"/>
        <v>748170</v>
      </c>
      <c r="H21" s="78">
        <f>G21*1.984</f>
        <v>1484369.28</v>
      </c>
      <c r="I21" s="77">
        <f>IF(G21&gt;0,365,0)</f>
        <v>365</v>
      </c>
      <c r="J21" s="3"/>
      <c r="K21" s="36"/>
      <c r="L21" s="1"/>
      <c r="M21" s="84">
        <f>IF(F21&lt;365,MAX((D21/(365-F21)*365)*0.815,0),0)</f>
        <v>880200</v>
      </c>
      <c r="N21" s="84">
        <f>MAX((M21*0.15)/365*(365-F21),0)</f>
        <v>132030</v>
      </c>
      <c r="O21" s="31"/>
    </row>
    <row r="22" spans="1:16" ht="12.75" customHeight="1" x14ac:dyDescent="0.25">
      <c r="A22" s="36"/>
      <c r="B22" s="2"/>
      <c r="C22" s="18">
        <v>2016</v>
      </c>
      <c r="D22" s="68">
        <v>975600</v>
      </c>
      <c r="E22" s="67"/>
      <c r="F22" s="69">
        <v>300</v>
      </c>
      <c r="G22" s="75">
        <f t="shared" si="6"/>
        <v>675846.9</v>
      </c>
      <c r="H22" s="78">
        <f>G22*2.241</f>
        <v>1514572.9029000001</v>
      </c>
      <c r="I22" s="77">
        <f>IF(G22&gt;0,366,0)</f>
        <v>366</v>
      </c>
      <c r="J22" s="3"/>
      <c r="K22" s="36"/>
      <c r="L22" s="1"/>
      <c r="M22" s="84">
        <f>IF(F22&lt;366,MAX((D22/(366-F22)*366)*0.815,0),0)</f>
        <v>4409268.5454545459</v>
      </c>
      <c r="N22" s="84">
        <f>MAX((M22*0.15)/366*(366-F22),0)</f>
        <v>119267.1</v>
      </c>
      <c r="O22" s="31"/>
    </row>
    <row r="23" spans="1:16" ht="12.95" customHeight="1" x14ac:dyDescent="0.25">
      <c r="A23" s="36"/>
      <c r="B23" s="2"/>
      <c r="C23" s="18">
        <v>2015</v>
      </c>
      <c r="D23" s="68">
        <v>717980</v>
      </c>
      <c r="E23" s="67"/>
      <c r="F23" s="69"/>
      <c r="G23" s="75">
        <f t="shared" si="6"/>
        <v>491529.10800000001</v>
      </c>
      <c r="H23" s="76">
        <f>G23*2.414</f>
        <v>1186551.2667120001</v>
      </c>
      <c r="I23" s="77">
        <f>IF(G23&gt;0,365,0)</f>
        <v>365</v>
      </c>
      <c r="J23" s="3"/>
      <c r="K23" s="36"/>
      <c r="L23" s="1"/>
      <c r="M23" s="84">
        <f>IF(F23&lt;365,MAX((D23/(365-F23)*365)*0.815,0),0)</f>
        <v>585153.69999999995</v>
      </c>
      <c r="N23" s="84">
        <f>MAX((M23*0.16)/365*(365-F23),0)</f>
        <v>93624.591999999975</v>
      </c>
      <c r="O23" s="31"/>
    </row>
    <row r="24" spans="1:16" ht="12.95" customHeight="1" x14ac:dyDescent="0.25">
      <c r="A24" s="36"/>
      <c r="B24" s="2"/>
      <c r="C24" s="18">
        <v>2014</v>
      </c>
      <c r="D24" s="68"/>
      <c r="E24" s="67"/>
      <c r="F24" s="69"/>
      <c r="G24" s="75">
        <f t="shared" si="6"/>
        <v>0</v>
      </c>
      <c r="H24" s="78">
        <f>G24*2.517</f>
        <v>0</v>
      </c>
      <c r="I24" s="77">
        <f>IF(G24&gt;0,365,0)</f>
        <v>0</v>
      </c>
      <c r="J24" s="3"/>
      <c r="K24" s="36"/>
      <c r="L24" s="1"/>
      <c r="M24" s="84">
        <f>IF(F24&lt;365,MAX((D24/(365-F24)*365)*0.815,0),0)</f>
        <v>0</v>
      </c>
      <c r="N24" s="84">
        <f>MAX((M24*0.16)/366*(366-F24),0)</f>
        <v>0</v>
      </c>
      <c r="O24" s="31"/>
    </row>
    <row r="25" spans="1:16" ht="12.95" customHeight="1" x14ac:dyDescent="0.25">
      <c r="A25" s="36"/>
      <c r="B25" s="2"/>
      <c r="C25" s="18">
        <v>2013</v>
      </c>
      <c r="D25" s="68">
        <v>2947489</v>
      </c>
      <c r="E25" s="67"/>
      <c r="F25" s="69">
        <v>35</v>
      </c>
      <c r="G25" s="75">
        <f t="shared" si="6"/>
        <v>2017850.9693999998</v>
      </c>
      <c r="H25" s="78">
        <f>G25*2.593</f>
        <v>5232287.5636541992</v>
      </c>
      <c r="I25" s="77">
        <f>IF(G25&gt;0,365,0)</f>
        <v>365</v>
      </c>
      <c r="J25" s="3"/>
      <c r="K25" s="36"/>
      <c r="L25" s="1"/>
      <c r="M25" s="80">
        <f>IF(F25&lt;365,MAX((D25/(365-F25)*365)*0.815,0),0)</f>
        <v>2656982.6978030303</v>
      </c>
      <c r="N25" s="80">
        <f>MAX((M25*0.16)/365*(365-F25),0)</f>
        <v>384352.56559999997</v>
      </c>
      <c r="O25" s="31"/>
    </row>
    <row r="26" spans="1:16" ht="12.95" customHeight="1" x14ac:dyDescent="0.25">
      <c r="A26" s="36"/>
      <c r="B26" s="2"/>
      <c r="C26" s="18">
        <v>2012</v>
      </c>
      <c r="D26" s="68">
        <v>3942200</v>
      </c>
      <c r="E26" s="67"/>
      <c r="F26" s="69"/>
      <c r="G26" s="75">
        <f>MIN(D26+0,(366-F26)*21700)*0.815-N26</f>
        <v>2664749.9424000001</v>
      </c>
      <c r="H26" s="76">
        <f>G26*2.721</f>
        <v>7250784.5932704005</v>
      </c>
      <c r="I26" s="77">
        <f>IF(G26&gt;0,366,0)</f>
        <v>366</v>
      </c>
      <c r="J26" s="3"/>
      <c r="K26" s="36"/>
      <c r="L26" s="1"/>
      <c r="M26" s="80">
        <f>IF(F26&lt;366,MAX(MIN(D26/(366-F26)*366,7942200)*0.815,0),0)</f>
        <v>3212893</v>
      </c>
      <c r="N26" s="80">
        <f>MAX((M26*0.16+MAX(M26-2424000,0)*0.0432)/366*(366-F26),0)</f>
        <v>548143.05760000006</v>
      </c>
      <c r="O26" s="31"/>
    </row>
    <row r="27" spans="1:16" ht="12.95" customHeight="1" x14ac:dyDescent="0.25">
      <c r="A27" s="36"/>
      <c r="B27" s="2"/>
      <c r="C27" s="18">
        <v>2011</v>
      </c>
      <c r="D27" s="68"/>
      <c r="E27" s="67"/>
      <c r="F27" s="69"/>
      <c r="G27" s="75">
        <f>MIN(D27+0,(365-F27)*21000)*0.825-N27</f>
        <v>0</v>
      </c>
      <c r="H27" s="78">
        <f>G27*2.777</f>
        <v>0</v>
      </c>
      <c r="I27" s="77">
        <f>IF(G27&gt;0,365,0)</f>
        <v>0</v>
      </c>
      <c r="J27" s="3"/>
      <c r="K27" s="36"/>
      <c r="L27" s="1"/>
      <c r="M27" s="80">
        <f>IF(F27&lt;365,MAX(MIN(D27/(365-F27)*365,7665000)*0.825,0),0)</f>
        <v>0</v>
      </c>
      <c r="N27" s="80">
        <f>MAX((M27*1.27*0.16)-MIN(M27*1.27*0.16,145200),0)/365*(365-F27)</f>
        <v>0</v>
      </c>
      <c r="O27" s="31"/>
    </row>
    <row r="28" spans="1:16" ht="12.95" customHeight="1" x14ac:dyDescent="0.25">
      <c r="A28" s="36"/>
      <c r="B28" s="2"/>
      <c r="C28" s="18">
        <v>2010</v>
      </c>
      <c r="D28" s="68">
        <v>3264408</v>
      </c>
      <c r="E28" s="67"/>
      <c r="F28" s="69"/>
      <c r="G28" s="75">
        <f>MIN(D28+0,(365-F28)*20420)*0.83-N28</f>
        <v>2305686.5196239995</v>
      </c>
      <c r="H28" s="78">
        <f>G28*2.954</f>
        <v>6810997.9789692946</v>
      </c>
      <c r="I28" s="77">
        <f>IF(G28&gt;0,365,0)</f>
        <v>365</v>
      </c>
      <c r="J28" s="3"/>
      <c r="K28" s="36"/>
      <c r="L28" s="25"/>
      <c r="M28" s="80">
        <f>IF(F28&lt;365,MAX(MIN(D28/(365-F28)*365,7453300)*0.83,0),0)</f>
        <v>2709458.6399999997</v>
      </c>
      <c r="N28" s="80">
        <f>MAX((M28*1.27*0.17+MAX(M28*1.27-5000000,0)*0.15)-MIN(M28*1.27*0.17,181200),0)/365*(365-F28)</f>
        <v>403772.12037599995</v>
      </c>
      <c r="O28" s="32"/>
      <c r="P28" s="27"/>
    </row>
    <row r="29" spans="1:16" ht="12.95" customHeight="1" x14ac:dyDescent="0.25">
      <c r="A29" s="36"/>
      <c r="B29" s="2"/>
      <c r="C29" s="19">
        <v>2009</v>
      </c>
      <c r="D29" s="68">
        <v>1326000</v>
      </c>
      <c r="E29" s="70">
        <v>120000</v>
      </c>
      <c r="F29" s="69"/>
      <c r="G29" s="75">
        <f>MIN(D29+E29,(365-F29)*20400)*0.83-N29</f>
        <v>1120227.6000000001</v>
      </c>
      <c r="H29" s="78">
        <f>G29*3.156</f>
        <v>3535438.3056000005</v>
      </c>
      <c r="I29" s="77">
        <f>IF(G29&gt;0,365,0)</f>
        <v>365</v>
      </c>
      <c r="J29" s="3"/>
      <c r="K29" s="36"/>
      <c r="L29" s="1"/>
      <c r="M29" s="80">
        <f>IF(F29&lt;365,MAX(MIN(D29/(365-F29)*365+E29,7446000)*0.83,0),0)</f>
        <v>1200180</v>
      </c>
      <c r="N29" s="80">
        <f>MAX((M29*0.18+MAX(M29-1900000,0)*0.18)-MIN(M29*0.18,136080),0)/365*(365-F29)</f>
        <v>79952.399999999994</v>
      </c>
      <c r="O29" s="33"/>
    </row>
    <row r="30" spans="1:16" ht="12.95" customHeight="1" x14ac:dyDescent="0.25">
      <c r="A30" s="36"/>
      <c r="B30" s="2"/>
      <c r="C30" s="19">
        <v>2008</v>
      </c>
      <c r="D30" s="68"/>
      <c r="E30" s="70"/>
      <c r="F30" s="69"/>
      <c r="G30" s="75">
        <f>MIN(D30+E30,(366-F30)*19500)*0.83-N30</f>
        <v>0</v>
      </c>
      <c r="H30" s="78">
        <f>G30*3.215</f>
        <v>0</v>
      </c>
      <c r="I30" s="77">
        <f>IF(G30&gt;0,366,0)</f>
        <v>0</v>
      </c>
      <c r="J30" s="3"/>
      <c r="K30" s="36"/>
      <c r="L30" s="1"/>
      <c r="M30" s="80">
        <f>IF(F30&lt;366,MAX(MIN(D30/(366-F30)*366+E30,7137000)*0.83,0),0)</f>
        <v>0</v>
      </c>
      <c r="N30" s="80">
        <f>MAX((M30*0.18+MAX(M30-1700000,0)*0.18)-MIN(M30*0.18,136080),0)/366*(366-F30)</f>
        <v>0</v>
      </c>
      <c r="O30" s="33"/>
    </row>
    <row r="31" spans="1:16" ht="12.95" customHeight="1" x14ac:dyDescent="0.25">
      <c r="A31" s="36"/>
      <c r="B31" s="2"/>
      <c r="C31" s="19">
        <v>2007</v>
      </c>
      <c r="D31" s="68">
        <v>3290484</v>
      </c>
      <c r="E31" s="70">
        <v>461000</v>
      </c>
      <c r="F31" s="69"/>
      <c r="G31" s="75">
        <f>MIN(D31+E31,(365-F31)*18490)*0.83-N31</f>
        <v>2406788.3007999999</v>
      </c>
      <c r="H31" s="78">
        <f>G31*3.437</f>
        <v>8272131.3898495995</v>
      </c>
      <c r="I31" s="77">
        <f t="shared" ref="I31:I33" si="7">IF(G31&gt;0,365,0)</f>
        <v>365</v>
      </c>
      <c r="J31" s="3"/>
      <c r="K31" s="36"/>
      <c r="L31" s="1"/>
      <c r="M31" s="80">
        <f>IF(F31&lt;365,MAX(MIN(D31/(365-F31)*365+E31,6748850)*0.83,0),0)</f>
        <v>3113731.7199999997</v>
      </c>
      <c r="N31" s="80">
        <f>MAX((M31*0.18+MAX(M31-1700000,0)*0.18)-MIN(M31*0.18,108000),0)/365*(365-F31)</f>
        <v>706943.41919999989</v>
      </c>
      <c r="O31" s="33"/>
    </row>
    <row r="32" spans="1:16" ht="12.95" customHeight="1" x14ac:dyDescent="0.25">
      <c r="A32" s="36"/>
      <c r="B32" s="2"/>
      <c r="C32" s="19">
        <v>2006</v>
      </c>
      <c r="D32" s="68">
        <v>1471516</v>
      </c>
      <c r="E32" s="70">
        <v>5000</v>
      </c>
      <c r="F32" s="69"/>
      <c r="G32" s="75">
        <f>MIN(D32+E32,(365-F32)*17330)*0.858-N32</f>
        <v>1146817.59696</v>
      </c>
      <c r="H32" s="78">
        <f>G32*3.542</f>
        <v>4062027.9284323198</v>
      </c>
      <c r="I32" s="77">
        <f t="shared" si="7"/>
        <v>365</v>
      </c>
      <c r="J32" s="3"/>
      <c r="K32" s="36"/>
      <c r="L32" s="1"/>
      <c r="M32" s="80">
        <f>IF(F32&lt;365,MAX(MIN(D32/(365-F32)*365+E32,6325450)*0.858,0),0)</f>
        <v>1266850.7279999999</v>
      </c>
      <c r="N32" s="80">
        <f>MAX((M32*0.18+MAX(M32-1550000,0)*0.18)-MIN(M32*0.18,108000),0)/365*(365-F32)</f>
        <v>120033.13103999998</v>
      </c>
      <c r="O32" s="33"/>
    </row>
    <row r="33" spans="1:16" ht="12.95" customHeight="1" x14ac:dyDescent="0.25">
      <c r="A33" s="36"/>
      <c r="B33" s="2"/>
      <c r="C33" s="19">
        <v>2005</v>
      </c>
      <c r="D33" s="68"/>
      <c r="E33" s="70"/>
      <c r="F33" s="69"/>
      <c r="G33" s="75">
        <f>MIN(D33+E33,(365-F33)*16440)*0.865-N33</f>
        <v>0</v>
      </c>
      <c r="H33" s="78">
        <f>G33*3.811</f>
        <v>0</v>
      </c>
      <c r="I33" s="77">
        <f t="shared" si="7"/>
        <v>0</v>
      </c>
      <c r="J33" s="3"/>
      <c r="K33" s="36"/>
      <c r="L33" s="1"/>
      <c r="M33" s="80">
        <f>IF(F33&lt;365,MAX(MIN(D33/(365-F33)*365+E33,6000600)*0.865,0),0)</f>
        <v>0</v>
      </c>
      <c r="N33" s="80">
        <f>MAX((M33*0.18+MAX(M33-1500000,0)*0.2)-MIN(M33*0.18,108000),0)/365*(365-F33)</f>
        <v>0</v>
      </c>
      <c r="O33" s="33"/>
    </row>
    <row r="34" spans="1:16" ht="12.95" customHeight="1" x14ac:dyDescent="0.25">
      <c r="A34" s="36"/>
      <c r="B34" s="2"/>
      <c r="C34" s="19">
        <v>2004</v>
      </c>
      <c r="D34" s="68">
        <v>2777182</v>
      </c>
      <c r="E34" s="70">
        <v>120454</v>
      </c>
      <c r="F34" s="69"/>
      <c r="G34" s="75">
        <f>MIN(D34+E34,(366-F34)*14500)*0.865-N34</f>
        <v>1906002.1868</v>
      </c>
      <c r="H34" s="78">
        <f>G34*4.195</f>
        <v>7995679.173626001</v>
      </c>
      <c r="I34" s="77">
        <f>IF(G34&gt;0,366,0)</f>
        <v>366</v>
      </c>
      <c r="J34" s="3"/>
      <c r="K34" s="36"/>
      <c r="L34" s="1"/>
      <c r="M34" s="80">
        <f>IF(F34&lt;366,MAX(MIN(D34/(366-F34)*366+E34,5307000)*0.865,0),0)</f>
        <v>2506455.14</v>
      </c>
      <c r="N34" s="80">
        <f>MAX((M34*0.18+MAX(M34-800000,0)*0.08+MAX(M34-1500000,0)*0.12)-MIN(M34*0.18,108000),0)/366*(366-F34)</f>
        <v>600452.95320000011</v>
      </c>
      <c r="O34" s="33"/>
    </row>
    <row r="35" spans="1:16" ht="12.95" customHeight="1" x14ac:dyDescent="0.25">
      <c r="A35" s="36"/>
      <c r="B35" s="2"/>
      <c r="C35" s="19">
        <v>2003</v>
      </c>
      <c r="D35" s="68">
        <v>2631835</v>
      </c>
      <c r="E35" s="70"/>
      <c r="F35" s="69"/>
      <c r="G35" s="75">
        <f>MIN(D35+E35,(365-F35)*10700)*0.875-N35</f>
        <v>1738649.0570312501</v>
      </c>
      <c r="H35" s="78">
        <f>G35*4.438</f>
        <v>7716124.5151046878</v>
      </c>
      <c r="I35" s="77">
        <f t="shared" ref="I35:I37" si="8">IF(G35&gt;0,365,0)</f>
        <v>365</v>
      </c>
      <c r="J35" s="3"/>
      <c r="K35" s="36"/>
      <c r="L35" s="1"/>
      <c r="M35" s="80">
        <f>IF(F35&lt;365,MAX(MIN(D35/(365-F35)*365+E35,3905500)*0.875,0),0)</f>
        <v>2302855.625</v>
      </c>
      <c r="N35" s="80">
        <f>MAX((M35*0.2+MAX(M35-650000,0)*0.1+MAX(M35-1350000,0)*0.1)-MIN(M35*0.18,108000)-MIN(M35,3905500)*0.085*0.25,0)/365*(365-F35)</f>
        <v>564206.56796875002</v>
      </c>
      <c r="O35" s="32"/>
      <c r="P35" s="28"/>
    </row>
    <row r="36" spans="1:16" ht="12.95" customHeight="1" x14ac:dyDescent="0.25">
      <c r="A36" s="36"/>
      <c r="B36" s="2"/>
      <c r="C36" s="19">
        <v>2002</v>
      </c>
      <c r="D36" s="68">
        <v>2152050</v>
      </c>
      <c r="E36" s="70">
        <v>216800</v>
      </c>
      <c r="F36" s="69"/>
      <c r="G36" s="75">
        <f>MIN(D36+E36,(365-F36)*6490)*0.875-N36</f>
        <v>1525101.125</v>
      </c>
      <c r="H36" s="78">
        <f>G36*5.068</f>
        <v>7729212.5014999993</v>
      </c>
      <c r="I36" s="77">
        <f t="shared" si="8"/>
        <v>365</v>
      </c>
      <c r="J36" s="3"/>
      <c r="K36" s="36"/>
      <c r="L36" s="1"/>
      <c r="M36" s="80">
        <f>IF(F36&lt;365,MAX(MIN(D36/(365-F36)*365+E36,2368850)*0.875,0),0)</f>
        <v>2072743.75</v>
      </c>
      <c r="N36" s="80">
        <f>MAX((M36*0.2+MAX(M36-600000,0)*0.1+MAX(M36-1200000,0)*0.1)-MIN(M36*0.18,60000)-MIN(M36,2368850)*0.02,0)/365*(365-F36)</f>
        <v>547642.625</v>
      </c>
      <c r="O36" s="32"/>
    </row>
    <row r="37" spans="1:16" ht="12.95" customHeight="1" x14ac:dyDescent="0.25">
      <c r="A37" s="36"/>
      <c r="B37" s="2"/>
      <c r="C37" s="19">
        <v>2001</v>
      </c>
      <c r="D37" s="68">
        <v>1900300</v>
      </c>
      <c r="E37" s="70">
        <v>297000</v>
      </c>
      <c r="F37" s="69"/>
      <c r="G37" s="75">
        <f>MIN(D37+E37,(365-F37)*6020)*0.875-N37</f>
        <v>1381035.25</v>
      </c>
      <c r="H37" s="78">
        <f>G37*6.064</f>
        <v>8374597.7560000001</v>
      </c>
      <c r="I37" s="77">
        <f t="shared" si="8"/>
        <v>365</v>
      </c>
      <c r="J37" s="3"/>
      <c r="K37" s="36"/>
      <c r="L37" s="1"/>
      <c r="M37" s="80">
        <f>IF(F37&lt;365,MAX(MIN(D37/(365-F37)*365+E37,2197300)*0.875,0),0)</f>
        <v>1922637.5</v>
      </c>
      <c r="N37" s="80">
        <f>MAX((M37*0.2+MAX(M37-480000,0)*0.1+MAX(M37-1050000,0)*0.1)-MIN(M37*0.1,36000)-MIN(M37,2197300)*0.02,0)/365*(365-F37)</f>
        <v>541602.25</v>
      </c>
      <c r="O37" s="32"/>
    </row>
    <row r="38" spans="1:16" ht="12.95" customHeight="1" x14ac:dyDescent="0.25">
      <c r="A38" s="36"/>
      <c r="B38" s="2"/>
      <c r="C38" s="19">
        <v>2000</v>
      </c>
      <c r="D38" s="68">
        <v>1914990</v>
      </c>
      <c r="E38" s="70">
        <v>81700</v>
      </c>
      <c r="F38" s="69"/>
      <c r="G38" s="75">
        <f>MIN(D38+E38,(366-F38)*5520)*0.875-N38</f>
        <v>1259204.325</v>
      </c>
      <c r="H38" s="78">
        <f>G38*7.045</f>
        <v>8871094.4696249999</v>
      </c>
      <c r="I38" s="77">
        <f>IF(G38&gt;0,366,0)</f>
        <v>366</v>
      </c>
      <c r="J38" s="3"/>
      <c r="K38" s="36"/>
      <c r="L38" s="1"/>
      <c r="M38" s="80">
        <f>IF(F38&lt;366,MAX(MIN(D38/(366-F38)*366+E38,2020320)*0.875,0),0)</f>
        <v>1747103.75</v>
      </c>
      <c r="N38" s="80">
        <f>MAX((M38*0.2+MAX(M38-400000,0)*0.1+MAX(M38-1000000,0)*0.1)-MIN(M38*0.1,36000)-MIN(M38,2020320)*0.02,0)/366*(366-F38)</f>
        <v>487899.42499999999</v>
      </c>
      <c r="O38" s="32"/>
    </row>
    <row r="39" spans="1:16" ht="12.95" customHeight="1" x14ac:dyDescent="0.25">
      <c r="A39" s="36"/>
      <c r="B39" s="2"/>
      <c r="C39" s="19">
        <v>1999</v>
      </c>
      <c r="D39" s="68">
        <v>1815783</v>
      </c>
      <c r="E39" s="70"/>
      <c r="F39" s="69"/>
      <c r="G39" s="75">
        <f>MIN(D39+E39,(365-F39)*5080)*0.875-N39</f>
        <v>1161062.2774999999</v>
      </c>
      <c r="H39" s="78">
        <f>G39*7.849</f>
        <v>9113177.8160974998</v>
      </c>
      <c r="I39" s="77">
        <f t="shared" ref="I39:I41" si="9">IF(G39&gt;0,365,0)</f>
        <v>365</v>
      </c>
      <c r="J39" s="3"/>
      <c r="K39" s="36"/>
      <c r="L39" s="1"/>
      <c r="M39" s="80">
        <f>IF(F39&lt;365,MAX(MIN(D39/(365-F39)*365+E39,1854200)*0.875,0),0)</f>
        <v>1588810.125</v>
      </c>
      <c r="N39" s="80">
        <f>MAX((M39*0.2+MAX(M39-400000,0)*0.1+MAX(M39-1000000,0)*0.1)-MIN(M39*0.1,36000)-MIN(M39,1854200)*0.02,0)/365*(365-F39)</f>
        <v>427747.84750000003</v>
      </c>
      <c r="O39" s="32"/>
    </row>
    <row r="40" spans="1:16" ht="12.95" customHeight="1" x14ac:dyDescent="0.25">
      <c r="A40" s="36"/>
      <c r="B40" s="2"/>
      <c r="C40" s="19">
        <v>1998</v>
      </c>
      <c r="D40" s="68"/>
      <c r="E40" s="70"/>
      <c r="F40" s="69"/>
      <c r="G40" s="75">
        <f>MIN(D40+E40,(365-F40)*4290)*0.885-N40</f>
        <v>0</v>
      </c>
      <c r="H40" s="78">
        <f>G40*8.846</f>
        <v>0</v>
      </c>
      <c r="I40" s="77">
        <f t="shared" si="9"/>
        <v>0</v>
      </c>
      <c r="J40" s="3"/>
      <c r="K40" s="36"/>
      <c r="L40" s="1"/>
      <c r="M40" s="80">
        <f>IF(F40&lt;365,MAX(MIN(D40/(365-F40)*365+E40,1565850)*0.885,0),0)</f>
        <v>0</v>
      </c>
      <c r="N40" s="80">
        <f>MAX((M40*0.2+MAX(M40-250000,0)*0.02+MAX(M40-300000,0)*0.09+MAX(M40-500000,0)*0.04+MAX(M40-700000,0)*0.04+MAX(M40-1100000,0)*0.03)-MIN(M40*0.2,50400)-M40*0.0175,0)/365*(365-F40)</f>
        <v>0</v>
      </c>
      <c r="O40" s="33"/>
    </row>
    <row r="41" spans="1:16" ht="12.95" customHeight="1" x14ac:dyDescent="0.25">
      <c r="A41" s="36"/>
      <c r="B41" s="2"/>
      <c r="C41" s="19">
        <v>1997</v>
      </c>
      <c r="D41" s="68">
        <v>1204500</v>
      </c>
      <c r="E41" s="70"/>
      <c r="F41" s="69"/>
      <c r="G41" s="75">
        <f>MIN(D41+E41,(365-F41)*3300)*0.885-N41</f>
        <v>773449.32499999995</v>
      </c>
      <c r="H41" s="78">
        <f>G41*10.474</f>
        <v>8101108.2300499994</v>
      </c>
      <c r="I41" s="77">
        <f t="shared" si="9"/>
        <v>365</v>
      </c>
      <c r="J41" s="3"/>
      <c r="K41" s="36"/>
      <c r="L41" s="1"/>
      <c r="M41" s="80">
        <f>IF(F41&lt;365,MAX(MIN(D41/(365-F41)*365+E41,1204500)*0.885,0),0)</f>
        <v>1065982.5</v>
      </c>
      <c r="N41" s="80">
        <f>MAX((M41*0.2+MAX(M41-250000,0)*0.02+MAX(M41-300000,0)*0.09+MAX(M41-500000,0)*0.04+MAX(M41-700000,0)*0.04+MAX(M41-1100000,0)*0.03)-MIN(M41*0.2,43200),0)/365*(365-F41)</f>
        <v>292533.17499999999</v>
      </c>
      <c r="O41" s="33"/>
    </row>
    <row r="42" spans="1:16" ht="12.95" customHeight="1" x14ac:dyDescent="0.25">
      <c r="A42" s="36"/>
      <c r="B42" s="2"/>
      <c r="C42" s="19">
        <v>1996</v>
      </c>
      <c r="D42" s="68">
        <v>915000</v>
      </c>
      <c r="E42" s="70"/>
      <c r="F42" s="69"/>
      <c r="G42" s="75">
        <f>MIN(D42+E42,(366-F42)*2500)*0.885-N42</f>
        <v>523974</v>
      </c>
      <c r="H42" s="78">
        <f>G42*12.996</f>
        <v>6809566.1040000003</v>
      </c>
      <c r="I42" s="77">
        <f>IF(G42&gt;0,366,0)</f>
        <v>366</v>
      </c>
      <c r="J42" s="3"/>
      <c r="K42" s="36"/>
      <c r="L42" s="1"/>
      <c r="M42" s="80">
        <f>IF(F42&lt;366,MAX(MIN(D42/(366-F42)*366+E42,915000)*0.885,0),0)</f>
        <v>809775</v>
      </c>
      <c r="N42" s="80">
        <f>MAX((M42*0.2+MAX(M42-150000,0)*0.05+MAX(M42-220000,0)*0.1+MAX(M42-380000,0)*0.05+MAX(M42-550000,0)*0.04+MAX(M42-900000,0)*0.04),0)/366*(366-F42)</f>
        <v>285801</v>
      </c>
      <c r="O42" s="33"/>
    </row>
    <row r="43" spans="1:16" ht="12.95" customHeight="1" x14ac:dyDescent="0.25">
      <c r="A43" s="36"/>
      <c r="B43" s="2"/>
      <c r="C43" s="19">
        <v>1995</v>
      </c>
      <c r="D43" s="68"/>
      <c r="E43" s="70"/>
      <c r="F43" s="69"/>
      <c r="G43" s="75">
        <f>MIN(D43+E43,(365-F43)*2500)*0.885-N43</f>
        <v>0</v>
      </c>
      <c r="H43" s="78">
        <f>G43*15.258</f>
        <v>0</v>
      </c>
      <c r="I43" s="77">
        <f t="shared" ref="I43:I45" si="10">IF(G43&gt;0,365,0)</f>
        <v>0</v>
      </c>
      <c r="J43" s="3"/>
      <c r="K43" s="36"/>
      <c r="L43" s="1"/>
      <c r="M43" s="80">
        <f>IF(F43&lt;365,MAX(MIN(D43/(365-F43)*365+E43,912500)*0.885,0),0)</f>
        <v>0</v>
      </c>
      <c r="N43" s="80">
        <f>MAX((MAX(M43-110000,0)*0.2+MAX(M43-150000,0)*0.05+MAX(M43-220000,0)*0.1+MAX(M43-380000,0)*0.05+MAX(M43-550000,0)*0.04)-MIN(M43,912500)*0.025,0)/365*(365-F43)</f>
        <v>0</v>
      </c>
      <c r="O43" s="33"/>
    </row>
    <row r="44" spans="1:16" ht="12.95" customHeight="1" x14ac:dyDescent="0.25">
      <c r="A44" s="36"/>
      <c r="B44" s="2"/>
      <c r="C44" s="19">
        <v>1994</v>
      </c>
      <c r="D44" s="68">
        <v>770645</v>
      </c>
      <c r="E44" s="70"/>
      <c r="F44" s="69"/>
      <c r="G44" s="75">
        <f>MIN(D44+E44,(365-F44)*2500)*0.885-N44</f>
        <v>504440.57829999999</v>
      </c>
      <c r="H44" s="78">
        <f>G44*17.183</f>
        <v>8667802.4569288995</v>
      </c>
      <c r="I44" s="77">
        <f t="shared" si="10"/>
        <v>365</v>
      </c>
      <c r="J44" s="3"/>
      <c r="K44" s="36"/>
      <c r="L44" s="1"/>
      <c r="M44" s="80">
        <f>IF(F44&lt;365,MAX(MIN(D44/(365-F44)*365+E44,912500)*0.9*0.885,0),0)</f>
        <v>613818.74249999993</v>
      </c>
      <c r="N44" s="80">
        <f>MAX((MAX(M44-110000,0)*0.2+MAX(M44-150000,0)*0.05+MAX(M44-220000,0)*0.1+MAX(M44-380000,0)*0.05+MAX(M44-550000,0)*0.04),0)/365*(365-F44)</f>
        <v>177580.24669999996</v>
      </c>
      <c r="O44" s="32"/>
    </row>
    <row r="45" spans="1:16" ht="12.95" customHeight="1" x14ac:dyDescent="0.25">
      <c r="A45" s="36"/>
      <c r="B45" s="2"/>
      <c r="C45" s="19">
        <v>1993</v>
      </c>
      <c r="D45" s="68">
        <v>617278</v>
      </c>
      <c r="E45" s="70">
        <v>82800</v>
      </c>
      <c r="F45" s="69"/>
      <c r="G45" s="75">
        <f>MIN(D45+E45,(365-F45)*2500)*0.88-N45</f>
        <v>442041.18400000001</v>
      </c>
      <c r="H45" s="78">
        <f>G45*21.873</f>
        <v>9668766.8176320009</v>
      </c>
      <c r="I45" s="77">
        <f t="shared" si="10"/>
        <v>365</v>
      </c>
      <c r="J45" s="3"/>
      <c r="K45" s="36"/>
      <c r="L45" s="1"/>
      <c r="M45" s="80">
        <f>IF(F45&lt;365,MAX(MIN(D45/(365-F45)*365+E45,912500)*0.88,0),0)</f>
        <v>616068.64</v>
      </c>
      <c r="N45" s="80">
        <f>MAX((MAX(M45-100000,0)*0.25+MAX(M45-200000,0)*0.1+MAX(M45-500000,0)*0.05)-2400,0)/365*(365-F45)</f>
        <v>174027.45600000001</v>
      </c>
      <c r="O45" s="33"/>
    </row>
    <row r="46" spans="1:16" ht="12.95" customHeight="1" x14ac:dyDescent="0.25">
      <c r="A46" s="36"/>
      <c r="B46" s="2"/>
      <c r="C46" s="19">
        <v>1992</v>
      </c>
      <c r="D46" s="68">
        <v>446900</v>
      </c>
      <c r="E46" s="70">
        <v>128920</v>
      </c>
      <c r="F46" s="69"/>
      <c r="G46" s="75">
        <f>(D46+E46)*0.89-N46</f>
        <v>377487.88</v>
      </c>
      <c r="H46" s="78">
        <f>G46*25.74</f>
        <v>9716538.0311999992</v>
      </c>
      <c r="I46" s="77">
        <f>IF(G46&gt;0,366,0)</f>
        <v>366</v>
      </c>
      <c r="J46" s="3"/>
      <c r="K46" s="36"/>
      <c r="L46" s="1"/>
      <c r="M46" s="80">
        <f>IF(F46&lt;366,MAX((D46/(366-F46)*366+E46)*0.89,0),0)</f>
        <v>512479.8</v>
      </c>
      <c r="N46" s="80">
        <f>MAX((MAX(M46-100000,0)*0.25+MAX(M46-200000,0)*0.1+MAX(M46-500000,0)*0.05),0)/366*(366-F46)</f>
        <v>134991.91999999998</v>
      </c>
      <c r="O46" s="33"/>
    </row>
    <row r="47" spans="1:16" ht="12.95" customHeight="1" x14ac:dyDescent="0.25">
      <c r="A47" s="36"/>
      <c r="B47" s="2"/>
      <c r="C47" s="19">
        <v>1991</v>
      </c>
      <c r="D47" s="68">
        <v>118850</v>
      </c>
      <c r="E47" s="70">
        <v>28000</v>
      </c>
      <c r="F47" s="69"/>
      <c r="G47" s="75">
        <f>(D47+E47)*0.898-N47</f>
        <v>121709.91000000002</v>
      </c>
      <c r="H47" s="78">
        <f>G47*31.225</f>
        <v>3800391.9397500008</v>
      </c>
      <c r="I47" s="77">
        <f t="shared" ref="I47:I49" si="11">IF(G47&gt;0,365,0)</f>
        <v>365</v>
      </c>
      <c r="J47" s="3"/>
      <c r="K47" s="36"/>
      <c r="L47" s="1"/>
      <c r="M47" s="80">
        <f>IF(F47&lt;365,MAX((D47/(365-F47)*365+E47)*0.898,0),0)</f>
        <v>131871.30000000002</v>
      </c>
      <c r="N47" s="80">
        <f>MAX((MAX(M47-55000,0)*0.12+MAX(M47-90000,0)*0.06+MAX(M47-120000,0)*0.12+MAX(M47-150000,0)*0.02+MAX(M47-300000,0)*0.08+MAX(M47-500000,0)*0.1)-3000,0)/365*(365-F47)</f>
        <v>10161.390000000005</v>
      </c>
      <c r="O47" s="33"/>
    </row>
    <row r="48" spans="1:16" ht="12.95" customHeight="1" x14ac:dyDescent="0.25">
      <c r="A48" s="36"/>
      <c r="B48" s="2"/>
      <c r="C48" s="19">
        <v>1990</v>
      </c>
      <c r="D48" s="68">
        <v>445650</v>
      </c>
      <c r="E48" s="70">
        <v>23155</v>
      </c>
      <c r="F48" s="69"/>
      <c r="G48" s="75">
        <f>(D48+E48)*0.9-N48</f>
        <v>309704.7</v>
      </c>
      <c r="H48" s="78">
        <f>G48*39.188</f>
        <v>12136707.783600001</v>
      </c>
      <c r="I48" s="77">
        <f t="shared" si="11"/>
        <v>365</v>
      </c>
      <c r="J48" s="3"/>
      <c r="K48" s="36"/>
      <c r="L48" s="1"/>
      <c r="M48" s="80">
        <f>IF(F48&lt;365,MAX((D48/(365-F48)*365+E48)*0.9-12000,0),0)</f>
        <v>409924.49999999994</v>
      </c>
      <c r="N48" s="80">
        <f>MAX((MAX(M48-55000,0)*0.15+MAX(M48-90000,0)*0.15+MAX(M48-300000,0)*0.1+MAX(M48-500000,0)*0.1),0)/365*(365-F48)</f>
        <v>112219.79999999999</v>
      </c>
      <c r="O48" s="33"/>
    </row>
    <row r="49" spans="1:15" ht="12.95" customHeight="1" x14ac:dyDescent="0.25">
      <c r="A49" s="36"/>
      <c r="B49" s="2"/>
      <c r="C49" s="19">
        <v>1989</v>
      </c>
      <c r="D49" s="68"/>
      <c r="E49" s="70">
        <v>8379</v>
      </c>
      <c r="F49" s="69"/>
      <c r="G49" s="75">
        <f>(D49+E49)*0.9-N49</f>
        <v>7541.1</v>
      </c>
      <c r="H49" s="78">
        <f>G49*47.652</f>
        <v>359348.49720000004</v>
      </c>
      <c r="I49" s="77">
        <f t="shared" si="11"/>
        <v>365</v>
      </c>
      <c r="J49" s="3"/>
      <c r="K49" s="36"/>
      <c r="L49" s="1"/>
      <c r="M49" s="80">
        <f>IF(F49&lt;365,MAX((D49/(365-F49)*365+E49)*0.9-12000,0),0)</f>
        <v>0</v>
      </c>
      <c r="N49" s="80">
        <f>MAX((MAX(M49-55000,0)*0.17+MAX(M49-70000,0)*0.06+MAX(M49-100000,0)*0.06+MAX(M49-150000,0)*0.06+MAX(M49-240000,0)*0.07+MAX(M49-360000,0)*0.07+MAX(M49-600000,0)*0.07),0)/365*(365-F49)</f>
        <v>0</v>
      </c>
      <c r="O49" s="33"/>
    </row>
    <row r="50" spans="1:15" ht="12.95" customHeight="1" x14ac:dyDescent="0.25">
      <c r="A50" s="36"/>
      <c r="B50" s="2"/>
      <c r="C50" s="19">
        <v>1988</v>
      </c>
      <c r="D50" s="68">
        <v>142150</v>
      </c>
      <c r="E50" s="70">
        <v>4969</v>
      </c>
      <c r="F50" s="69"/>
      <c r="G50" s="75">
        <f>(D50+E50)*0.9-N50</f>
        <v>113864.61500000001</v>
      </c>
      <c r="H50" s="78">
        <f>G50*55.706</f>
        <v>6342942.2431900008</v>
      </c>
      <c r="I50" s="77">
        <f>IF(G50&gt;0,366,0)</f>
        <v>366</v>
      </c>
      <c r="J50" s="3"/>
      <c r="K50" s="36"/>
      <c r="L50" s="1"/>
      <c r="M50" s="80">
        <f>IF(F50&lt;366,MAX((D50/(366-F50)*366+E50)*0.9-12000,0),0)</f>
        <v>120407.1</v>
      </c>
      <c r="N50" s="80">
        <f>MAX((MAX(M50-48000,0)*0.2+MAX(M50-70000,0)*0.05+MAX(M50-90000,0)*0.05+MAX(M50-120000,0)*0.05+MAX(M50-150000,0)*0.04+MAX(M50-180000,0)*0.05+MAX(M50-240000,0)*0.04+MAX(M50-360000,0)*0.04+MAX(M50-600000,0)*0.04+MAX(M50-800000,0)*0.04),0)/366*(366-F50)</f>
        <v>18542.485000000001</v>
      </c>
      <c r="O50" s="29"/>
    </row>
    <row r="51" spans="1:15" ht="7.5" customHeight="1" thickBot="1" x14ac:dyDescent="0.3">
      <c r="A51" s="36"/>
      <c r="B51" s="4"/>
      <c r="C51" s="5"/>
      <c r="D51" s="5"/>
      <c r="E51" s="5"/>
      <c r="F51" s="5"/>
      <c r="G51" s="8"/>
      <c r="H51" s="5"/>
      <c r="I51" s="5"/>
      <c r="J51" s="6"/>
      <c r="K51" s="36"/>
      <c r="L51" s="1"/>
      <c r="M51" s="29"/>
      <c r="N51" s="81"/>
      <c r="O51" s="29"/>
    </row>
    <row r="52" spans="1:15" x14ac:dyDescent="0.25">
      <c r="A52" s="36"/>
      <c r="B52" s="36"/>
      <c r="C52" s="72" t="s">
        <v>0</v>
      </c>
      <c r="D52" s="37"/>
      <c r="E52" s="37"/>
      <c r="F52" s="37"/>
      <c r="G52" s="79" t="s">
        <v>20</v>
      </c>
      <c r="H52" s="36"/>
      <c r="I52" s="36"/>
      <c r="J52" s="36"/>
      <c r="K52" s="36"/>
      <c r="L52" s="1"/>
      <c r="M52" s="29"/>
      <c r="N52" s="29"/>
      <c r="O52" s="29"/>
    </row>
    <row r="53" spans="1:15" x14ac:dyDescent="0.25">
      <c r="A53" s="1"/>
      <c r="B53" s="1"/>
      <c r="C53" s="34"/>
      <c r="D53" s="35"/>
      <c r="E53" s="35"/>
      <c r="F53" s="35"/>
      <c r="G53" s="1"/>
      <c r="H53" s="1"/>
      <c r="I53" s="1"/>
      <c r="J53" s="1"/>
      <c r="K53" s="1"/>
      <c r="L53" s="1"/>
      <c r="M53" s="29"/>
      <c r="N53" s="29"/>
      <c r="O53" s="29"/>
    </row>
    <row r="54" spans="1:15" x14ac:dyDescent="0.25">
      <c r="A54" s="1"/>
      <c r="B54" s="17" t="s">
        <v>19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29"/>
      <c r="N54" s="29"/>
      <c r="O54" s="29"/>
    </row>
    <row r="55" spans="1:15" x14ac:dyDescent="0.25">
      <c r="A55" s="1"/>
      <c r="B55" s="17" t="s">
        <v>18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29"/>
      <c r="N55" s="29"/>
      <c r="O55" s="29"/>
    </row>
    <row r="56" spans="1:15" x14ac:dyDescent="0.25">
      <c r="A56" s="1"/>
      <c r="B56" s="17" t="s">
        <v>15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29"/>
      <c r="N56" s="29"/>
      <c r="O56" s="29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9"/>
      <c r="N57" s="29"/>
      <c r="O57" s="29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9"/>
      <c r="N58" s="29"/>
      <c r="O58" s="29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9"/>
      <c r="N59" s="29"/>
      <c r="O59" s="29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9"/>
      <c r="N60" s="29"/>
      <c r="O60" s="29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9"/>
      <c r="N61" s="29"/>
      <c r="O61" s="29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9"/>
      <c r="N62" s="29"/>
      <c r="O62" s="29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9"/>
      <c r="N63" s="29"/>
      <c r="O63" s="29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29"/>
      <c r="N64" s="29"/>
      <c r="O64" s="29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29"/>
      <c r="N65" s="29"/>
      <c r="O65" s="29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29"/>
      <c r="N66" s="29"/>
      <c r="O66" s="29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29"/>
      <c r="N67" s="29"/>
      <c r="O67" s="29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29"/>
      <c r="N68" s="29"/>
      <c r="O68" s="29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29"/>
      <c r="N69" s="29"/>
      <c r="O69" s="29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29"/>
      <c r="N70" s="29"/>
      <c r="O70" s="29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29"/>
      <c r="N71" s="29"/>
      <c r="O71" s="29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29"/>
      <c r="N72" s="29"/>
      <c r="O72" s="29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29"/>
      <c r="N73" s="29"/>
      <c r="O73" s="29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29"/>
      <c r="N74" s="29"/>
      <c r="O74" s="29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29"/>
      <c r="N75" s="29"/>
      <c r="O75" s="29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29"/>
      <c r="N76" s="29"/>
      <c r="O76" s="29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29"/>
      <c r="N77" s="29"/>
      <c r="O77" s="29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29"/>
      <c r="N78" s="29"/>
      <c r="O78" s="29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29"/>
      <c r="N79" s="29"/>
      <c r="O79" s="29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29"/>
      <c r="N80" s="29"/>
      <c r="O80" s="29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29"/>
      <c r="N81" s="29"/>
      <c r="O81" s="29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29"/>
      <c r="N82" s="29"/>
      <c r="O82" s="29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29"/>
      <c r="N83" s="29"/>
      <c r="O83" s="29"/>
    </row>
  </sheetData>
  <sheetProtection algorithmName="SHA-512" hashValue="Mzp2wbzflfKvYdwKdRMIz/Iw8AlP1NKl6yic2d7K3XmQBjSdJ0dS4yPOv5tL2jMsuaa1TnFH74z9CV4JNeZM+A==" saltValue="jHodzGfyQlSokz8FNFUo9w==" spinCount="100000" sheet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nyugdij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AngyalJ</dc:creator>
  <cp:lastModifiedBy>József Angyal</cp:lastModifiedBy>
  <cp:lastPrinted>2022-07-29T07:17:23Z</cp:lastPrinted>
  <dcterms:created xsi:type="dcterms:W3CDTF">2009-06-21T13:54:24Z</dcterms:created>
  <dcterms:modified xsi:type="dcterms:W3CDTF">2024-08-20T10:21:57Z</dcterms:modified>
</cp:coreProperties>
</file>